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90" windowWidth="15435" windowHeight="11505" tabRatio="670" activeTab="0"/>
  </bookViews>
  <sheets>
    <sheet name="FS-Conso" sheetId="1" r:id="rId1"/>
    <sheet name="FS-The Company" sheetId="2" r:id="rId2"/>
    <sheet name="Equity_Change_Conso" sheetId="3" r:id="rId3"/>
    <sheet name="Equity_Change_The Company" sheetId="4" r:id="rId4"/>
    <sheet name="Cashflow_Conso" sheetId="5" r:id="rId5"/>
    <sheet name="Cashflow_The Company" sheetId="6" r:id="rId6"/>
  </sheets>
  <externalReferences>
    <externalReference r:id="rId9"/>
    <externalReference r:id="rId10"/>
    <externalReference r:id="rId11"/>
  </externalReferences>
  <definedNames>
    <definedName name="csDesignMode">1</definedName>
    <definedName name="_xlnm.Print_Area" localSheetId="4">'Cashflow_Conso'!$A$1:$J$109</definedName>
    <definedName name="_xlnm.Print_Area" localSheetId="5">'Cashflow_The Company'!$A$1:$I$107</definedName>
    <definedName name="_xlnm.Print_Area" localSheetId="2">'Equity_Change_Conso'!$A$1:$Z$93</definedName>
    <definedName name="_xlnm.Print_Area" localSheetId="3">'Equity_Change_The Company'!$A$1:$X$90</definedName>
    <definedName name="_xlnm.Print_Area" localSheetId="0">'FS-Conso'!$A$1:$J$256</definedName>
    <definedName name="_xlnm.Print_Area" localSheetId="1">'FS-The Company'!$A$1:$J$255</definedName>
  </definedNames>
  <calcPr fullCalcOnLoad="1"/>
</workbook>
</file>

<file path=xl/sharedStrings.xml><?xml version="1.0" encoding="utf-8"?>
<sst xmlns="http://schemas.openxmlformats.org/spreadsheetml/2006/main" count="904" uniqueCount="259">
  <si>
    <t>งบแสดงการเปลี่ยนแปลงส่วนของผู้ถือหุ้น</t>
  </si>
  <si>
    <t>มูลค่าหุ้น</t>
  </si>
  <si>
    <t>ส่วนของผู้ถือหุ้น</t>
  </si>
  <si>
    <t>รวม</t>
  </si>
  <si>
    <t>บริษัท ปตท.สำรวจและผลิตปิโตรเลียม จำกัด (มหาชน) และบริษัทย่อย</t>
  </si>
  <si>
    <t>หมายเหตุ</t>
  </si>
  <si>
    <t>สินทรัพย์หมุนเวียน</t>
  </si>
  <si>
    <t xml:space="preserve">     ลูกหนี้การค้า</t>
  </si>
  <si>
    <t xml:space="preserve">     สินค้าคงเหลือ</t>
  </si>
  <si>
    <t xml:space="preserve">     พัสดุคงเหลือ-สุทธิ</t>
  </si>
  <si>
    <t xml:space="preserve">     สินทรัพย์หมุนเวียนอื่น </t>
  </si>
  <si>
    <t xml:space="preserve">          ลูกหนี้จากการร่วมทุน</t>
  </si>
  <si>
    <t xml:space="preserve">          ดอกเบี้ยค้างรับ</t>
  </si>
  <si>
    <t xml:space="preserve">          สินทรัพย์หมุนเวียนอื่น ๆ </t>
  </si>
  <si>
    <t xml:space="preserve">     รวมสินทรัพย์หมุนเวียน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</si>
  <si>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</si>
  <si>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</si>
  <si>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</si>
  <si>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 xml:space="preserve">      เจ้าหนี้จากการร่วมทุน</t>
  </si>
  <si>
    <t xml:space="preserve">      ค่าใช้จ่ายค้างจ่าย</t>
  </si>
  <si>
    <t xml:space="preserve">      ดอกเบี้ยค้างจ่าย</t>
  </si>
  <si>
    <t xml:space="preserve">      ภาษีเงินได้ค้างจ่าย</t>
  </si>
  <si>
    <t xml:space="preserve">      หนี้สินหมุนเวียนอื่น</t>
  </si>
  <si>
    <t xml:space="preserve">     รวมหนี้สินหมุนเวียน</t>
  </si>
  <si>
    <t xml:space="preserve">     หุ้นกู้</t>
  </si>
  <si>
    <t>รวมหนี้สิน</t>
  </si>
  <si>
    <t xml:space="preserve">     ทุนเรือนหุ้น</t>
  </si>
  <si>
    <t xml:space="preserve">     ส่วนเกินมูลค่าหุ้น</t>
  </si>
  <si>
    <t>รวมส่วนของผู้ถือหุ้น</t>
  </si>
  <si>
    <t>รวมหนี้สินและส่วนของผู้ถือหุ้น</t>
  </si>
  <si>
    <t>รายได้</t>
  </si>
  <si>
    <t xml:space="preserve">     รายได้จากการขาย</t>
  </si>
  <si>
    <t xml:space="preserve">     รายได้อื่น </t>
  </si>
  <si>
    <t xml:space="preserve">          ดอกเบี้ยรับ</t>
  </si>
  <si>
    <t xml:space="preserve">          รายได้อื่น ๆ</t>
  </si>
  <si>
    <t>ค่าใช้จ่าย</t>
  </si>
  <si>
    <t xml:space="preserve">     ค่าใช้จ่ายอื่น </t>
  </si>
  <si>
    <t xml:space="preserve">          กำไรต่อหุ้นขั้นพื้นฐาน</t>
  </si>
  <si>
    <t xml:space="preserve">งบกระแสเงินสด </t>
  </si>
  <si>
    <t>กระแสเงินสดจากกิจกรรมดำเนินงาน</t>
  </si>
  <si>
    <t xml:space="preserve">                    เงินสดสุทธิได้มาจากกิจกรรมดำเนินงาน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</si>
  <si>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</si>
  <si>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</si>
  <si>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ปรับปรุงผลกระทบจากอัตราแลกเปลี่ยน</t>
  </si>
  <si>
    <t>กำไรต่อหุ้น</t>
  </si>
  <si>
    <t xml:space="preserve">     เงินสดและรายการเทียบเท่าเงินสด</t>
  </si>
  <si>
    <t xml:space="preserve">     รายได้จากการบริการท่อขนส่งก๊าซ</t>
  </si>
  <si>
    <t xml:space="preserve">          ทุนจดทะเบียน</t>
  </si>
  <si>
    <t>สินทรัพย์ไม่หมุนเวียน</t>
  </si>
  <si>
    <t xml:space="preserve">     ที่ดิน อาคารและอุปกรณ์-สุทธิ</t>
  </si>
  <si>
    <t xml:space="preserve">         ค่าใช้จ่ายล่วงหน้า</t>
  </si>
  <si>
    <t xml:space="preserve">    รวมสินทรัพย์ไม่หมุนเวียน</t>
  </si>
  <si>
    <t xml:space="preserve">     สินทรัพย์ไม่หมุนเวียนอื่น </t>
  </si>
  <si>
    <t xml:space="preserve">      เจ้าหนี้การค้า</t>
  </si>
  <si>
    <t>หนี้สินไม่หมุนเวียน</t>
  </si>
  <si>
    <t xml:space="preserve">     หนี้สินไม่หมุนเวียนอื่น </t>
  </si>
  <si>
    <t xml:space="preserve">          รายได้รอการรับรู้</t>
  </si>
  <si>
    <t xml:space="preserve">          หนี้สินไม่หมุนเวียนอื่น ๆ</t>
  </si>
  <si>
    <t xml:space="preserve">      รวมหนี้สินไม่หมุนเวียน</t>
  </si>
  <si>
    <t xml:space="preserve">              สำรองตามกฎหมาย</t>
  </si>
  <si>
    <t xml:space="preserve">          จัดสรรแล้ว</t>
  </si>
  <si>
    <t xml:space="preserve">          ยังไม่ได้จัดสรร</t>
  </si>
  <si>
    <t>สำรองเพื่อ</t>
  </si>
  <si>
    <t>การขยายงาน</t>
  </si>
  <si>
    <t>สำรอง</t>
  </si>
  <si>
    <t xml:space="preserve">         สินทรัพย์ไม่หมุนเวียนอื่น ๆ </t>
  </si>
  <si>
    <t xml:space="preserve">     กำไรสะสม</t>
  </si>
  <si>
    <t>หน่วย : บาท</t>
  </si>
  <si>
    <t xml:space="preserve">          ทุนที่ออกและชำระแล้ว</t>
  </si>
  <si>
    <t xml:space="preserve">          ค่าเสื่อมราคา ค่าสูญสิ้นและค่าตัดจำหน่าย</t>
  </si>
  <si>
    <t>เงินสดและรายการเทียบเท่าเงินสดต้นงวด</t>
  </si>
  <si>
    <t>เงินสดและรายการเทียบเท่าเงินสดสิ้นงวด</t>
  </si>
  <si>
    <t xml:space="preserve">          กำไรต่อหุ้นปรับลด</t>
  </si>
  <si>
    <t xml:space="preserve">     เงินให้กู้ยืมระยะยาวแก่กิจการที่เกี่ยวข้องกัน</t>
  </si>
  <si>
    <t>ทุนเรือนหุ้นที่ออกและชำระแล้ว</t>
  </si>
  <si>
    <t>ส่วนเกิน</t>
  </si>
  <si>
    <t>กำไรสะสม</t>
  </si>
  <si>
    <t xml:space="preserve">          เงินปันผลรับจากกิจการที่เกี่ยวข้องกัน</t>
  </si>
  <si>
    <t>เงินปันผลจ่าย</t>
  </si>
  <si>
    <t xml:space="preserve">     ค่าใช้จ่ายการดำเนินงาน</t>
  </si>
  <si>
    <t xml:space="preserve">     ค่าภาคหลวงและค่าตอบแทนสำหรับปิโตรเลียม</t>
  </si>
  <si>
    <t xml:space="preserve">       จากกิจกรรมดำเนินงาน</t>
  </si>
  <si>
    <t>ตามกฎหมาย</t>
  </si>
  <si>
    <t xml:space="preserve">                    เงินสดสุทธิใช้ไปในกิจกรรมลงทุน</t>
  </si>
  <si>
    <t xml:space="preserve">     เงินปันผลรับจากกิจการที่เกี่ยวข้องกัน</t>
  </si>
  <si>
    <t xml:space="preserve">     ค่าใช้จ่ายในการสำรวจปิโตรเลียม</t>
  </si>
  <si>
    <t xml:space="preserve">     ค่าเสื่อมราคา ค่าสูญสิ้นและค่าตัดจำหน่าย</t>
  </si>
  <si>
    <t xml:space="preserve">          รายได้จากรายได้รอการรับรู้</t>
  </si>
  <si>
    <t xml:space="preserve">         ค่าตอบแทนตามสัญญารอตัดบัญชี</t>
  </si>
  <si>
    <t xml:space="preserve">          ขาดทุนจากอนุพันธ์เพื่อประกันความเสี่ยง</t>
  </si>
  <si>
    <t xml:space="preserve">          ค่าใช้จ่ายตัดจ่าย</t>
  </si>
  <si>
    <t>สินทรัพย์</t>
  </si>
  <si>
    <t xml:space="preserve">     เงินลงทุนในบริษัทย่อย</t>
  </si>
  <si>
    <t xml:space="preserve">     เงินลงทุนในบริษัทร่วม</t>
  </si>
  <si>
    <t>กำไรก่อนภาษีเงินได้</t>
  </si>
  <si>
    <t xml:space="preserve">     ค่าใช้จ่ายในการบริหาร</t>
  </si>
  <si>
    <t xml:space="preserve">          ค่าตอบแทนผู้บริหาร</t>
  </si>
  <si>
    <t xml:space="preserve">     หนี้สินตามสัญญาเช่าทางการเงิน</t>
  </si>
  <si>
    <t xml:space="preserve">          ภาษีเงินได้รอการตัดบัญชีเพิ่มขึ้น</t>
  </si>
  <si>
    <t xml:space="preserve">     กำไรก่อนภาษีเงินได้</t>
  </si>
  <si>
    <t xml:space="preserve">     รายการปรับปรุงกระทบยอดกำไรก่อนภาษีเงินได้เป็นเงินสดรับ (จ่าย)</t>
  </si>
  <si>
    <t xml:space="preserve">          ค่าใช้จ่ายในการสำรวจตัดจ่าย</t>
  </si>
  <si>
    <t xml:space="preserve">     เงินสดรับจากดอกเบี้ยเงินฝากธนาคาร</t>
  </si>
  <si>
    <t xml:space="preserve">     เงินสดจ่ายภาษีเงินได้ </t>
  </si>
  <si>
    <t xml:space="preserve">     เงินสดรับจากดอกเบี้ยเงินให้กู้ยืม </t>
  </si>
  <si>
    <t xml:space="preserve">     ที่ดิน อาคาร และอุปกรณ์เพิ่มขึ้น</t>
  </si>
  <si>
    <t xml:space="preserve">     สินทรัพย์ไม่มีตัวตนเพิ่มขึ้น</t>
  </si>
  <si>
    <t xml:space="preserve">     เงินสดรับจากการออกหุ้นสามัญ</t>
  </si>
  <si>
    <t xml:space="preserve">     เงินปันผลจ่าย</t>
  </si>
  <si>
    <t xml:space="preserve">      ประมาณการหนี้สินระยะสั้น</t>
  </si>
  <si>
    <t xml:space="preserve">          ค่าความเสียหายจากอุบัติเหตุในแหล่งมอนทารา</t>
  </si>
  <si>
    <t xml:space="preserve">     สินทรัพย์ไม่มีตัวตน-สุทธิ</t>
  </si>
  <si>
    <t xml:space="preserve">      เงินปันผลค้างจ่าย</t>
  </si>
  <si>
    <t>(ยังไม่ได้ตรวจสอบ</t>
  </si>
  <si>
    <t>แต่สอบทานแล้ว)</t>
  </si>
  <si>
    <t xml:space="preserve">งบกำไรขาดทุนเบ็ดเสร็จ
</t>
  </si>
  <si>
    <t xml:space="preserve">     องค์ประกอบอื่นของส่วนของผู้ถือหุ้น</t>
  </si>
  <si>
    <t xml:space="preserve">     ผลต่างของอัตราแลกเปลี่ยนจากการแปลงค่างบการเงิน</t>
  </si>
  <si>
    <t>องค์ประกอบอื่นของส่วนของผู้ถือหุ้น</t>
  </si>
  <si>
    <t>งบการเงิน</t>
  </si>
  <si>
    <t>การแปลงค่า</t>
  </si>
  <si>
    <t>ยังไม่ได้จัดสรร</t>
  </si>
  <si>
    <t xml:space="preserve">      หนี้สินอนุพันธ์ทางการเงิน          </t>
  </si>
  <si>
    <t xml:space="preserve">         สินทรัพย์อนุพันธ์ทางการเงิน        </t>
  </si>
  <si>
    <t xml:space="preserve">          สินทรัพย์อนุพันธ์ทางการเงิน        </t>
  </si>
  <si>
    <t>งบแสดงฐานะการเงิน</t>
  </si>
  <si>
    <t xml:space="preserve">          หนี้สินอนุพันธ์ทางการเงิน          </t>
  </si>
  <si>
    <t>ผู้ช่วยกรรมการผู้จัดการใหญ่ สายงานบัญชี</t>
  </si>
  <si>
    <t>หน่วย : ดอลลาร์สหรัฐอเมริกา</t>
  </si>
  <si>
    <t>งบแสดงการเปลี่ยนแปลงส่วนของผู้ถือหุ้น (ต่อ)</t>
  </si>
  <si>
    <t xml:space="preserve">งบกำไรขาดทุน
</t>
  </si>
  <si>
    <t>กำไรเบ็ดเสร็จรวมสำหรับงวด</t>
  </si>
  <si>
    <t>กำไร (ขาดทุน) เบ็ดเสร็จอื่นสำหรับงวด-สุทธิจากภาษี</t>
  </si>
  <si>
    <t xml:space="preserve">          ดอกเบี้ยรับต่ำกว่าดอกเบี้ยจ่าย</t>
  </si>
  <si>
    <t>ยอดคงเหลือ ณ วันที่  1 มกราคม 2555</t>
  </si>
  <si>
    <t>(ตรวจสอบแล้ว)</t>
  </si>
  <si>
    <t xml:space="preserve">     ค่าความนิยม</t>
  </si>
  <si>
    <t xml:space="preserve">      ส่วนของหนี้สินระยะยาวที่ถึงกำหนดชำระภายในหนึ่งปี</t>
  </si>
  <si>
    <t xml:space="preserve">     ภาระผูกพันผลประโยชน์พนักงาน</t>
  </si>
  <si>
    <t xml:space="preserve">     ประมาณการหนี้สินค่ารื้อถอนอุปกรณ์การผลิต</t>
  </si>
  <si>
    <t xml:space="preserve">     ลูกหนี้อื่น </t>
  </si>
  <si>
    <t xml:space="preserve">          กำไรจากอนุพันธ์ทางการเงิน</t>
  </si>
  <si>
    <t xml:space="preserve">     สินทรัพย์ภาษีเงินได้รอการตัดบัญชี</t>
  </si>
  <si>
    <t xml:space="preserve">     หนี้สินภาษีเงินได้รอการตัดบัญชี</t>
  </si>
  <si>
    <t xml:space="preserve">ส่วนแบ่งกำไรจากเงินลงทุนในบริษัทร่วม          </t>
  </si>
  <si>
    <t xml:space="preserve">          ส่วนแบ่งกำไรจากเงินลงทุนในบริษัทร่วม</t>
  </si>
  <si>
    <t>การเปลี่ยนแปลงในส่วนของผู้ถือหุ้นสำหรับงวด</t>
  </si>
  <si>
    <t>งบการเงินรวม</t>
  </si>
  <si>
    <t>กำไรสำหรับงวด</t>
  </si>
  <si>
    <t xml:space="preserve">     ภาษีเงินได้เกี่ยวกับเครื่องมือป้องกันความเสี่ยงกระแสเงินสด</t>
  </si>
  <si>
    <t xml:space="preserve">     ต้นทุนทางการเงิน</t>
  </si>
  <si>
    <t xml:space="preserve">     ลูกหนี้บริษัทใหญ่</t>
  </si>
  <si>
    <t xml:space="preserve">          ภาระผูกพันผลประโยชน์พนักงาน </t>
  </si>
  <si>
    <t>ข้อมูลเพิ่มเติมประกอบกระแสเงินสด</t>
  </si>
  <si>
    <t xml:space="preserve">     การซื้อที่ดิน อาคารและอุปกรณ์ที่ยังมิได้มีการจ่ายชำระเงินสด</t>
  </si>
  <si>
    <t xml:space="preserve">      เงินกู้ยืมระยะสั้นจากสถาบันการเงิน</t>
  </si>
  <si>
    <t>ค่าใช้จ่ายภาษีเงินได้</t>
  </si>
  <si>
    <t xml:space="preserve">     เงินกู้ยืมระยะยาวจากสถาบันการเงิน</t>
  </si>
  <si>
    <t>31 ธันวาคม 2555</t>
  </si>
  <si>
    <t>(นางสาวพรทิพย์  อุยะกุล)</t>
  </si>
  <si>
    <t xml:space="preserve">(นายเทวินทร์  วงศ์วานิช)    </t>
  </si>
  <si>
    <t>ประธานเจ้าหน้าที่บริหารและกรรมการผู้จัดการใหญ่</t>
  </si>
  <si>
    <t xml:space="preserve">     เงินลงทุนเผื่อขาย</t>
  </si>
  <si>
    <t xml:space="preserve">     ประมาณการหนี้สินค่าตอบแทนการต่อระยะเวลาการผลิตปิโตรเลียม</t>
  </si>
  <si>
    <t xml:space="preserve">               หุ้นสามัญ 3,969,985,400 หุ้น มูลค่าหุ้นละ 1 บาท</t>
  </si>
  <si>
    <t xml:space="preserve">     หุ้นกู้ด้อยสิทธิที่มีลักษณะคล้ายทุน</t>
  </si>
  <si>
    <t xml:space="preserve">          ขาดทุนจากการด้อยค่าของสินทรัพย์   </t>
  </si>
  <si>
    <t>กำไร (ขาดทุน) เบ็ดเสร็จอื่น</t>
  </si>
  <si>
    <t>ภาษีเงินได้เกี่ยวกับ</t>
  </si>
  <si>
    <t>ทุนที่ออก</t>
  </si>
  <si>
    <t>หุ้นกู้ด้อยสิทธิ</t>
  </si>
  <si>
    <t>เครื่องมือป้องกัน</t>
  </si>
  <si>
    <t>รวมองค์ประกอบอื่น</t>
  </si>
  <si>
    <t>และชำระแล้ว</t>
  </si>
  <si>
    <t>ที่มีลักษณะคล้ายทุน</t>
  </si>
  <si>
    <t>เงินลงทุนเผื่อขาย</t>
  </si>
  <si>
    <t>ความเสี่ยงกระแสเงินสด</t>
  </si>
  <si>
    <t>ของส่วนของผู้ถือหุ้น</t>
  </si>
  <si>
    <t>ต้นทุนการได้มาซึ่งทุน</t>
  </si>
  <si>
    <t>สำรองตามกฎหมาย</t>
  </si>
  <si>
    <t>หุ้นกู้ด้อยสิทธิที่มีลักษณะคล้ายทุน</t>
  </si>
  <si>
    <t>ดอกเบี้ยจ่ายสำหรับหุ้นกู้ด้อยสิทธิที่มีลักษณะคล้ายทุน</t>
  </si>
  <si>
    <t>ยอดคงเหลือ ณ วันที่ 1 มกราคม 2556</t>
  </si>
  <si>
    <t>11, 12</t>
  </si>
  <si>
    <t>กำไร (ขาดทุน) เบ็ดเสร็จรวมสำหรับงวด</t>
  </si>
  <si>
    <t xml:space="preserve">     สินทรัพย์ดำเนินงาน (เพิ่มขึ้น) ลดลง</t>
  </si>
  <si>
    <t xml:space="preserve">          ลูกหนี้บริษัทใหญ่</t>
  </si>
  <si>
    <t xml:space="preserve">          ลูกหนี้การค้า</t>
  </si>
  <si>
    <t xml:space="preserve">          ลูกหนี้อื่น</t>
  </si>
  <si>
    <t xml:space="preserve">          สินค้าคงเหลือ</t>
  </si>
  <si>
    <t xml:space="preserve">          พัสดุคงเหลือ - สุทธิ</t>
  </si>
  <si>
    <t xml:space="preserve">          ค่าใช้จ่ายล่วงหน้า</t>
  </si>
  <si>
    <t xml:space="preserve">     หนี้สินดำเนินงานเพิ่มขึ้น (ลดลง)</t>
  </si>
  <si>
    <t xml:space="preserve">          เจ้าหนี้การค้า</t>
  </si>
  <si>
    <t xml:space="preserve">          เจ้าหนี้จากการร่วมทุน</t>
  </si>
  <si>
    <t xml:space="preserve">     หนี้สินดำเนินงานเพิ่มขึ้น (ลดลง) (ต่อ)</t>
  </si>
  <si>
    <t xml:space="preserve">          ค่าใช้จ่ายค้างจ่าย</t>
  </si>
  <si>
    <t xml:space="preserve">          หนี้สินหมุนเวียนอื่น</t>
  </si>
  <si>
    <t xml:space="preserve">     เงินสดรับจากเงินให้กู้ยืมระยะยาวแก่กิจการที่เกี่ยวข้องกัน</t>
  </si>
  <si>
    <t xml:space="preserve">     ขาดทุนจากเงินลงทุนในกิจการที่เกี่ยวข้องกัน </t>
  </si>
  <si>
    <t xml:space="preserve">     เงินสดรับจากเงินกู้ยืมระยะยาวจากสถาบันการเงิน</t>
  </si>
  <si>
    <t xml:space="preserve">     เงินสดจ่ายชำระคืนเงินกู้ยืมระยะยาวจากสถาบันการเงิน</t>
  </si>
  <si>
    <t xml:space="preserve">     เงินสดจ่ายสำหรับต้นทุนทางการเงิน</t>
  </si>
  <si>
    <t xml:space="preserve">     เงินสดจ่ายดอกเบี้ยหุ้นกู้ด้อยสิทธิที่มีลักษณะคล้ายทุน</t>
  </si>
  <si>
    <r>
      <t xml:space="preserve">                    </t>
    </r>
    <r>
      <rPr>
        <b/>
        <sz val="16"/>
        <color indexed="8"/>
        <rFont val="Cordia New"/>
        <family val="2"/>
      </rPr>
      <t>รวมรายได้</t>
    </r>
  </si>
  <si>
    <r>
      <t xml:space="preserve">                    </t>
    </r>
    <r>
      <rPr>
        <b/>
        <sz val="16"/>
        <color indexed="8"/>
        <rFont val="Cordia New"/>
        <family val="2"/>
      </rPr>
      <t>รวมค่าใช้จ่าย</t>
    </r>
  </si>
  <si>
    <t xml:space="preserve">          ขาดทุนจากการจำหน่ายสินทรัพย์</t>
  </si>
  <si>
    <t xml:space="preserve">     เงินสดจ่ายชำระคืนเงินกู้ยืมที่มีกำหนดชำระคืนภายใน 1 ปีจากสถาบันการเงิน</t>
  </si>
  <si>
    <t xml:space="preserve">หมายเหตุประกอบข้อมูลทางการเงินระหว่างกาลเป็นส่วนหนึ่งของข้อมูลทางการเงินนี้       </t>
  </si>
  <si>
    <t xml:space="preserve">     ผลกำไรที่ยังไม่รับรู้จากการวัดมูลค่าเงินลงทุนเผื่อขาย</t>
  </si>
  <si>
    <t xml:space="preserve">     ผลกำไร (ขาดทุน) จากเครื่องมือป้องกันความเสี่ยงกระแสเงินสด</t>
  </si>
  <si>
    <t>การป้องกัน</t>
  </si>
  <si>
    <t xml:space="preserve">          สินทรัพย์หมุนเวียนอื่น ๆ</t>
  </si>
  <si>
    <t xml:space="preserve">          สินทรัพย์ไม่หมุนเวียนอื่น ๆ</t>
  </si>
  <si>
    <t xml:space="preserve">              สำรองเพื่อการขยายงาน</t>
  </si>
  <si>
    <t xml:space="preserve">     ผลต่างจากการแปลงค่างบการเงิน</t>
  </si>
  <si>
    <t xml:space="preserve">          กำไรจากอัตราแลกเปลี่ยนเงินตราต่างประเทศ</t>
  </si>
  <si>
    <t xml:space="preserve">          ขาดทุนจากอนุพันธ์ทางการเงิน</t>
  </si>
  <si>
    <t xml:space="preserve">          ค่าเผื่อการด้อยค่าของสินทรัพย์</t>
  </si>
  <si>
    <t xml:space="preserve">     เงินสดจ่ายชำระคืนหุ้นกู้</t>
  </si>
  <si>
    <t xml:space="preserve">          (กำไร) ขาดทุนจากอัตราแลกเปลี่ยนเงินตราต่างประเทศ</t>
  </si>
  <si>
    <t xml:space="preserve">          ขาดทุนจากอัตราแลกเปลี่ยนเงินตราต่างประเทศ</t>
  </si>
  <si>
    <t xml:space="preserve">     เงินฝากสถาบันการเงินที่มีข้อจำกัดในการใช้เพิ่มขึ้น</t>
  </si>
  <si>
    <t xml:space="preserve">     เงินสดจ่ายดอกเบี้ย</t>
  </si>
  <si>
    <t xml:space="preserve">     เงินสดรับจากการออกหุ้นกู้ด้อยสิทธิที่มีลักษณะคล้ายทุน</t>
  </si>
  <si>
    <t xml:space="preserve">     เงินสดจ่ายสำหรับต้นทุนทางการเงินในการออกหุ้นกู้ด้อยสิทธิที่มีลักษณะคล้ายทุน      </t>
  </si>
  <si>
    <t xml:space="preserve">     เงินสดรับจากการออกหุ้นกู้</t>
  </si>
  <si>
    <t>เงินสดและรายการเทียบเท่าเงินสดลดลงสุทธิ</t>
  </si>
  <si>
    <t>ณ วันที่ 30 กันยายน 2556</t>
  </si>
  <si>
    <t>30 กันยายน 2556</t>
  </si>
  <si>
    <t>สำหรับงวดสามเดือนสิ้นสุดวันที่ 30 กันยายน 2556</t>
  </si>
  <si>
    <t>สำหรับงวดเก้าเดือนสิ้นสุดวันที่ 30 กันยายน 2556</t>
  </si>
  <si>
    <t>ยอดคงเหลือ ณ วันที่ 30 กันยายน 2555</t>
  </si>
  <si>
    <t>ยอดคงเหลือ ณ วันที่ 30 กันยายน 2556</t>
  </si>
  <si>
    <t xml:space="preserve">     เงินปันผลรับจากบริษัทร่วม</t>
  </si>
  <si>
    <t xml:space="preserve">     เงินสดรับจากเงินกู้ยืมที่มีกำหนดชำระคืนภายใน 1 ปีจากสถาบันการเงิน</t>
  </si>
  <si>
    <t xml:space="preserve">     เงินสดจ่ายในการซื้อธุรกิจ</t>
  </si>
  <si>
    <t xml:space="preserve">     ผลกำไร (ขาดทุน) ที่ยังไม่รับรู้จากการวัดมูลค่าเงินลงทุนเผื่อขาย</t>
  </si>
  <si>
    <t>งบการเงินเฉพาะบริษัท</t>
  </si>
  <si>
    <t xml:space="preserve">         เงินจ่ายล่วงหน้าสำหรับการซื้อธุรกิจ </t>
  </si>
  <si>
    <t xml:space="preserve">          ขาดทุนจากอนุพันธ์ทางการเงิน          </t>
  </si>
  <si>
    <t xml:space="preserve">          ค่าใช้จ่ายอื่น ๆ          </t>
  </si>
  <si>
    <t>.</t>
  </si>
  <si>
    <t>C258-'Equity_Change_The Company'!V42</t>
  </si>
  <si>
    <t>C257-'Equity_Change_The Company'!T42</t>
  </si>
  <si>
    <t>ยอดคงเหลือ ณ วันที่  1 มกราคม 2556</t>
  </si>
  <si>
    <t>ยอดคงเหลือ ณ วันที่ 1 มกราคม 2555</t>
  </si>
  <si>
    <t xml:space="preserve">          ส่วนแบ่งขาดทุนจากเงินลงทุนในบริษัทร่วม</t>
  </si>
  <si>
    <t xml:space="preserve">          ดอกเบี้ยรับสูงกว่าดอกเบี้ยจ่าย</t>
  </si>
  <si>
    <t xml:space="preserve">     ขาดทุนจากการแปลงค่างบการเงินของหน่วยงานต่างประเทศ</t>
  </si>
  <si>
    <t xml:space="preserve">     เงินฝากธนาคารที่มีข้อจำกัดในการใช้เพิ่มขึ้น</t>
  </si>
  <si>
    <t xml:space="preserve">     เงินสดจ่ายสำหรับเงินให้กู้ยืมระยะยาวแก่กิจการที่เกี่ยวข้องกัน</t>
  </si>
  <si>
    <t xml:space="preserve">     เงินลงทุนในกิจการที่เกี่ยวข้องกันเพิ่มขึ้น </t>
  </si>
  <si>
    <t xml:space="preserve">     ค่าใช้จ่ายในการออกหุ้นกู้</t>
  </si>
  <si>
    <t xml:space="preserve">                    เงินสดสุทธิใช้ไปในกิจกรรมจัดหาเงิน</t>
  </si>
  <si>
    <t xml:space="preserve">     เงินให้กู้ยืมระยะยาวแก่กิจการที่เกี่ยวข้องกันที่เกิดจากดอกเบี้ยทบต้น</t>
  </si>
  <si>
    <t xml:space="preserve">     เงินกู้ยืมที่มีกำหนดชำระคืนภายใน 3 เดือนจากสถาบันการเงินลดลง</t>
  </si>
  <si>
    <t>เงินสดและรายการเทียบเท่าเงินสดเพิ่มขึ้น (ลดลง) สุทธิ</t>
  </si>
  <si>
    <t xml:space="preserve">                    เงินสดสุทธิได้มาจาก (ใช้ไปใน) กิจกรรมจัดหาเงิน</t>
  </si>
</sst>
</file>

<file path=xl/styles.xml><?xml version="1.0" encoding="utf-8"?>
<styleSheet xmlns="http://schemas.openxmlformats.org/spreadsheetml/2006/main">
  <numFmts count="25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;\(#,##0\)"/>
    <numFmt numFmtId="166" formatCode="#,##0.00;\(#,##0.00\)"/>
    <numFmt numFmtId="167" formatCode="_(\ #,##0.00_);_(\ \(#,##0.00\);_(* &quot;-&quot;??_);_(@_)"/>
    <numFmt numFmtId="168" formatCode="_(\ #,##0_);_(\ \(#,##0\);_(* &quot;-&quot;??_);_(@_)"/>
    <numFmt numFmtId="169" formatCode="#,##0.00;[Red]\(#,##0.00\)"/>
    <numFmt numFmtId="170" formatCode="_-* #,##0_-;\-* #,##0_-;_-* &quot;-&quot;??_-;_-@_-"/>
    <numFmt numFmtId="171" formatCode="_-* #,##0.000_-;\-* #,##0.000_-;_-* &quot;-&quot;??_-;_-@_-"/>
    <numFmt numFmtId="172" formatCode="_-* #,##0.000000_-;\-* #,##0.000000_-;_-* &quot;-&quot;??_-;_-@_-"/>
    <numFmt numFmtId="173" formatCode="_-* #,##0.00000_-;\-* #,##0.00000_-;_-* &quot;-&quot;??_-;_-@_-"/>
    <numFmt numFmtId="174" formatCode="0.000000"/>
    <numFmt numFmtId="175" formatCode="_-* #,##0.0000000_-;\-* #,##0.0000000_-;_-* &quot;-&quot;??_-;_-@_-"/>
    <numFmt numFmtId="176" formatCode="#,##0.0000000"/>
    <numFmt numFmtId="177" formatCode="_-* #,##0.000000_-;\-* #,##0.000000_-;_-* &quot;-&quot;??????_-;_-@_-"/>
    <numFmt numFmtId="178" formatCode="_(* #,##0.0000_);_(* \(#,##0.0000\);_(* &quot;-&quot;??_);_(@_)"/>
    <numFmt numFmtId="179" formatCode="_(* #,##0_);_(* \(#,##0\);_(* &quot;-&quot;??_);_(@_)"/>
    <numFmt numFmtId="180" formatCode="_-* #,##0.0000_-;\-* #,##0.0000_-;_-* &quot;-&quot;??_-;_-@_-"/>
  </numFmts>
  <fonts count="65">
    <font>
      <sz val="14"/>
      <name val="Cordia New"/>
      <family val="0"/>
    </font>
    <font>
      <sz val="11"/>
      <color indexed="8"/>
      <name val="Calibri"/>
      <family val="2"/>
    </font>
    <font>
      <b/>
      <u val="single"/>
      <sz val="16"/>
      <name val="Cordia New"/>
      <family val="2"/>
    </font>
    <font>
      <b/>
      <sz val="16"/>
      <name val="Cordia New"/>
      <family val="2"/>
    </font>
    <font>
      <sz val="16"/>
      <color indexed="8"/>
      <name val="Cordia New"/>
      <family val="2"/>
    </font>
    <font>
      <sz val="16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0"/>
      <color indexed="8"/>
      <name val="Arial"/>
      <family val="2"/>
    </font>
    <font>
      <sz val="16"/>
      <color indexed="9"/>
      <name val="Cordia New"/>
      <family val="2"/>
    </font>
    <font>
      <sz val="18"/>
      <name val="Cordia New"/>
      <family val="2"/>
    </font>
    <font>
      <b/>
      <sz val="10"/>
      <color indexed="17"/>
      <name val="Arial"/>
      <family val="2"/>
    </font>
    <font>
      <b/>
      <sz val="16"/>
      <color indexed="10"/>
      <name val="Cordia New"/>
      <family val="2"/>
    </font>
    <font>
      <b/>
      <sz val="16"/>
      <color indexed="8"/>
      <name val="Cordia New"/>
      <family val="2"/>
    </font>
    <font>
      <b/>
      <sz val="16"/>
      <color indexed="9"/>
      <name val="Cordia New"/>
      <family val="2"/>
    </font>
    <font>
      <b/>
      <u val="single"/>
      <sz val="16"/>
      <color indexed="8"/>
      <name val="Cordia New"/>
      <family val="2"/>
    </font>
    <font>
      <b/>
      <sz val="24"/>
      <color indexed="10"/>
      <name val="Cordia New"/>
      <family val="2"/>
    </font>
    <font>
      <sz val="18"/>
      <color indexed="8"/>
      <name val="Cordia New"/>
      <family val="2"/>
    </font>
    <font>
      <b/>
      <sz val="24"/>
      <color indexed="8"/>
      <name val="Cordia New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ordia New"/>
      <family val="2"/>
    </font>
    <font>
      <b/>
      <sz val="16"/>
      <color theme="1"/>
      <name val="Cordia New"/>
      <family val="2"/>
    </font>
    <font>
      <b/>
      <sz val="16"/>
      <color theme="0"/>
      <name val="Cordia New"/>
      <family val="2"/>
    </font>
    <font>
      <b/>
      <u val="single"/>
      <sz val="16"/>
      <color theme="1"/>
      <name val="Cordia New"/>
      <family val="2"/>
    </font>
    <font>
      <sz val="16"/>
      <color rgb="FFFF0000"/>
      <name val="Cordia New"/>
      <family val="2"/>
    </font>
    <font>
      <sz val="16"/>
      <color theme="1"/>
      <name val="Cordia New"/>
      <family val="2"/>
    </font>
    <font>
      <sz val="16"/>
      <color theme="0"/>
      <name val="Cordia New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8"/>
      <color theme="1"/>
      <name val="Cordia New"/>
      <family val="2"/>
    </font>
    <font>
      <b/>
      <sz val="24"/>
      <color theme="1"/>
      <name val="Cordia New"/>
      <family val="2"/>
    </font>
    <font>
      <b/>
      <sz val="24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169" fontId="8" fillId="33" borderId="0">
      <alignment horizontal="right"/>
      <protection/>
    </xf>
    <xf numFmtId="0" fontId="11" fillId="33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16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8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8" fontId="3" fillId="0" borderId="0" xfId="42" applyNumberFormat="1" applyFont="1" applyFill="1" applyAlignment="1">
      <alignment horizontal="right" vertical="center"/>
    </xf>
    <xf numFmtId="168" fontId="3" fillId="0" borderId="0" xfId="42" applyNumberFormat="1" applyFont="1" applyFill="1" applyBorder="1" applyAlignment="1">
      <alignment horizontal="right" vertical="center"/>
    </xf>
    <xf numFmtId="0" fontId="3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65" fontId="5" fillId="0" borderId="0" xfId="58" applyNumberFormat="1" applyFont="1" applyFill="1" applyAlignment="1">
      <alignment vertical="center"/>
      <protection/>
    </xf>
    <xf numFmtId="0" fontId="3" fillId="0" borderId="0" xfId="58" applyFont="1" applyFill="1" applyAlignment="1">
      <alignment horizontal="centerContinuous" vertical="center"/>
      <protection/>
    </xf>
    <xf numFmtId="0" fontId="2" fillId="0" borderId="0" xfId="58" applyFont="1" applyFill="1" applyAlignment="1">
      <alignment horizontal="center" vertical="center"/>
      <protection/>
    </xf>
    <xf numFmtId="0" fontId="2" fillId="0" borderId="0" xfId="58" applyNumberFormat="1" applyFont="1" applyFill="1" applyAlignment="1" quotePrefix="1">
      <alignment horizontal="center" vertical="center"/>
      <protection/>
    </xf>
    <xf numFmtId="0" fontId="3" fillId="0" borderId="0" xfId="58" applyNumberFormat="1" applyFont="1" applyFill="1" applyAlignment="1">
      <alignment horizontal="center" vertical="center"/>
      <protection/>
    </xf>
    <xf numFmtId="165" fontId="3" fillId="0" borderId="0" xfId="58" applyNumberFormat="1" applyFont="1" applyFill="1" applyAlignment="1">
      <alignment vertical="center"/>
      <protection/>
    </xf>
    <xf numFmtId="168" fontId="5" fillId="0" borderId="0" xfId="58" applyNumberFormat="1" applyFont="1" applyFill="1" applyBorder="1" applyAlignment="1">
      <alignment horizontal="right" vertical="center"/>
      <protection/>
    </xf>
    <xf numFmtId="168" fontId="5" fillId="0" borderId="0" xfId="58" applyNumberFormat="1" applyFont="1" applyFill="1" applyAlignment="1">
      <alignment vertical="center"/>
      <protection/>
    </xf>
    <xf numFmtId="168" fontId="5" fillId="0" borderId="0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vertical="center"/>
      <protection/>
    </xf>
    <xf numFmtId="168" fontId="4" fillId="0" borderId="0" xfId="58" applyNumberFormat="1" applyFont="1" applyFill="1" applyBorder="1" applyAlignment="1">
      <alignment horizontal="right" vertical="center"/>
      <protection/>
    </xf>
    <xf numFmtId="168" fontId="4" fillId="0" borderId="0" xfId="58" applyNumberFormat="1" applyFont="1" applyFill="1" applyAlignment="1">
      <alignment horizontal="right" vertical="center"/>
      <protection/>
    </xf>
    <xf numFmtId="168" fontId="5" fillId="0" borderId="0" xfId="58" applyNumberFormat="1" applyFont="1" applyFill="1" applyAlignment="1">
      <alignment horizontal="right" vertical="center"/>
      <protection/>
    </xf>
    <xf numFmtId="168" fontId="5" fillId="0" borderId="0" xfId="58" applyNumberFormat="1" applyFont="1" applyFill="1" applyBorder="1" applyAlignment="1">
      <alignment vertical="center"/>
      <protection/>
    </xf>
    <xf numFmtId="168" fontId="3" fillId="0" borderId="10" xfId="58" applyNumberFormat="1" applyFont="1" applyFill="1" applyBorder="1" applyAlignment="1">
      <alignment horizontal="right" vertical="center"/>
      <protection/>
    </xf>
    <xf numFmtId="168" fontId="3" fillId="0" borderId="0" xfId="58" applyNumberFormat="1" applyFont="1" applyFill="1" applyBorder="1" applyAlignment="1">
      <alignment horizontal="right" vertical="center"/>
      <protection/>
    </xf>
    <xf numFmtId="168" fontId="5" fillId="0" borderId="0" xfId="58" applyNumberFormat="1" applyFont="1" applyFill="1">
      <alignment/>
      <protection/>
    </xf>
    <xf numFmtId="0" fontId="5" fillId="0" borderId="0" xfId="58" applyFont="1" applyFill="1" applyBorder="1" applyAlignment="1">
      <alignment vertical="center"/>
      <protection/>
    </xf>
    <xf numFmtId="0" fontId="5" fillId="0" borderId="0" xfId="58" applyFont="1" applyFill="1" applyAlignment="1">
      <alignment/>
      <protection/>
    </xf>
    <xf numFmtId="3" fontId="5" fillId="0" borderId="0" xfId="58" applyNumberFormat="1" applyFont="1" applyFill="1" applyBorder="1" applyAlignment="1">
      <alignment vertical="center"/>
      <protection/>
    </xf>
    <xf numFmtId="0" fontId="2" fillId="0" borderId="0" xfId="58" applyFont="1" applyFill="1" applyAlignment="1">
      <alignment vertical="center"/>
      <protection/>
    </xf>
    <xf numFmtId="168" fontId="3" fillId="0" borderId="0" xfId="58" applyNumberFormat="1" applyFont="1" applyFill="1" applyBorder="1" applyAlignment="1">
      <alignment vertical="center"/>
      <protection/>
    </xf>
    <xf numFmtId="168" fontId="3" fillId="0" borderId="10" xfId="58" applyNumberFormat="1" applyFont="1" applyFill="1" applyBorder="1" applyAlignment="1">
      <alignment vertical="center"/>
      <protection/>
    </xf>
    <xf numFmtId="168" fontId="3" fillId="0" borderId="11" xfId="58" applyNumberFormat="1" applyFont="1" applyFill="1" applyBorder="1" applyAlignment="1">
      <alignment vertical="center"/>
      <protection/>
    </xf>
    <xf numFmtId="168" fontId="2" fillId="0" borderId="0" xfId="58" applyNumberFormat="1" applyFont="1" applyFill="1" applyAlignment="1">
      <alignment vertical="center"/>
      <protection/>
    </xf>
    <xf numFmtId="168" fontId="2" fillId="0" borderId="0" xfId="58" applyNumberFormat="1" applyFont="1" applyFill="1" applyBorder="1" applyAlignment="1">
      <alignment vertical="center"/>
      <protection/>
    </xf>
    <xf numFmtId="168" fontId="5" fillId="0" borderId="11" xfId="58" applyNumberFormat="1" applyFont="1" applyFill="1" applyBorder="1" applyAlignment="1">
      <alignment vertical="center"/>
      <protection/>
    </xf>
    <xf numFmtId="168" fontId="3" fillId="0" borderId="0" xfId="58" applyNumberFormat="1" applyFont="1" applyFill="1" applyAlignment="1">
      <alignment vertical="center"/>
      <protection/>
    </xf>
    <xf numFmtId="168" fontId="3" fillId="0" borderId="0" xfId="58" applyNumberFormat="1" applyFont="1" applyFill="1" applyAlignment="1">
      <alignment/>
      <protection/>
    </xf>
    <xf numFmtId="168" fontId="3" fillId="0" borderId="12" xfId="58" applyNumberFormat="1" applyFont="1" applyFill="1" applyBorder="1" applyAlignment="1">
      <alignment vertical="center"/>
      <protection/>
    </xf>
    <xf numFmtId="167" fontId="6" fillId="0" borderId="0" xfId="58" applyNumberFormat="1" applyFont="1" applyFill="1" applyBorder="1" applyAlignment="1">
      <alignment vertical="center"/>
      <protection/>
    </xf>
    <xf numFmtId="164" fontId="53" fillId="0" borderId="0" xfId="44" applyFont="1" applyFill="1" applyBorder="1" applyAlignment="1">
      <alignment vertical="center"/>
    </xf>
    <xf numFmtId="0" fontId="5" fillId="0" borderId="0" xfId="58" applyFont="1" applyFill="1" applyBorder="1" applyAlignment="1">
      <alignment/>
      <protection/>
    </xf>
    <xf numFmtId="168" fontId="9" fillId="0" borderId="0" xfId="58" applyNumberFormat="1" applyFont="1" applyFill="1" applyAlignment="1">
      <alignment horizontal="right" vertical="center"/>
      <protection/>
    </xf>
    <xf numFmtId="168" fontId="9" fillId="0" borderId="0" xfId="58" applyNumberFormat="1" applyFont="1" applyFill="1" applyBorder="1" applyAlignment="1">
      <alignment vertical="center"/>
      <protection/>
    </xf>
    <xf numFmtId="168" fontId="9" fillId="0" borderId="0" xfId="58" applyNumberFormat="1" applyFont="1" applyFill="1" applyAlignment="1">
      <alignment vertical="center"/>
      <protection/>
    </xf>
    <xf numFmtId="164" fontId="5" fillId="0" borderId="0" xfId="44" applyFont="1" applyFill="1" applyAlignment="1">
      <alignment vertical="center"/>
    </xf>
    <xf numFmtId="168" fontId="7" fillId="0" borderId="0" xfId="58" applyNumberFormat="1" applyFont="1" applyFill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168" fontId="3" fillId="0" borderId="12" xfId="42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64" fontId="55" fillId="0" borderId="0" xfId="44" applyFont="1" applyFill="1" applyBorder="1" applyAlignment="1">
      <alignment vertical="center"/>
    </xf>
    <xf numFmtId="167" fontId="55" fillId="0" borderId="0" xfId="58" applyNumberFormat="1" applyFont="1" applyFill="1" applyBorder="1" applyAlignment="1">
      <alignment vertical="center"/>
      <protection/>
    </xf>
    <xf numFmtId="0" fontId="5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7" fontId="58" fillId="0" borderId="0" xfId="58" applyNumberFormat="1" applyFont="1" applyFill="1" applyBorder="1" applyAlignment="1">
      <alignment vertical="center"/>
      <protection/>
    </xf>
    <xf numFmtId="170" fontId="58" fillId="0" borderId="0" xfId="44" applyNumberFormat="1" applyFont="1" applyFill="1" applyBorder="1" applyAlignment="1">
      <alignment vertical="center"/>
    </xf>
    <xf numFmtId="168" fontId="58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8" fontId="5" fillId="0" borderId="0" xfId="42" applyNumberFormat="1" applyFont="1" applyFill="1" applyBorder="1" applyAlignment="1">
      <alignment horizontal="right" vertical="center"/>
    </xf>
    <xf numFmtId="165" fontId="5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72" fontId="54" fillId="0" borderId="0" xfId="42" applyNumberFormat="1" applyFont="1" applyFill="1" applyAlignment="1">
      <alignment vertical="center"/>
    </xf>
    <xf numFmtId="172" fontId="56" fillId="0" borderId="0" xfId="42" applyNumberFormat="1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172" fontId="56" fillId="0" borderId="0" xfId="42" applyNumberFormat="1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172" fontId="58" fillId="0" borderId="0" xfId="42" applyNumberFormat="1" applyFont="1" applyFill="1" applyAlignment="1">
      <alignment vertical="center"/>
    </xf>
    <xf numFmtId="168" fontId="58" fillId="0" borderId="0" xfId="0" applyNumberFormat="1" applyFont="1" applyFill="1" applyAlignment="1">
      <alignment vertical="center"/>
    </xf>
    <xf numFmtId="0" fontId="58" fillId="0" borderId="0" xfId="0" applyNumberFormat="1" applyFont="1" applyFill="1" applyAlignment="1">
      <alignment horizontal="center" vertical="center"/>
    </xf>
    <xf numFmtId="168" fontId="58" fillId="0" borderId="0" xfId="0" applyNumberFormat="1" applyFont="1" applyFill="1" applyBorder="1" applyAlignment="1">
      <alignment horizontal="right" vertical="center"/>
    </xf>
    <xf numFmtId="168" fontId="58" fillId="0" borderId="0" xfId="0" applyNumberFormat="1" applyFont="1" applyFill="1" applyBorder="1" applyAlignment="1" quotePrefix="1">
      <alignment horizontal="center" vertical="center"/>
    </xf>
    <xf numFmtId="168" fontId="58" fillId="0" borderId="0" xfId="0" applyNumberFormat="1" applyFont="1" applyFill="1" applyBorder="1" applyAlignment="1">
      <alignment horizontal="center" vertical="center"/>
    </xf>
    <xf numFmtId="168" fontId="58" fillId="0" borderId="0" xfId="0" applyNumberFormat="1" applyFont="1" applyFill="1" applyBorder="1" applyAlignment="1" quotePrefix="1">
      <alignment horizontal="left" vertical="center"/>
    </xf>
    <xf numFmtId="168" fontId="58" fillId="0" borderId="11" xfId="0" applyNumberFormat="1" applyFont="1" applyFill="1" applyBorder="1" applyAlignment="1">
      <alignment horizontal="right" vertical="center"/>
    </xf>
    <xf numFmtId="168" fontId="54" fillId="0" borderId="0" xfId="0" applyNumberFormat="1" applyFont="1" applyFill="1" applyAlignment="1">
      <alignment vertical="center"/>
    </xf>
    <xf numFmtId="168" fontId="54" fillId="0" borderId="10" xfId="0" applyNumberFormat="1" applyFont="1" applyFill="1" applyBorder="1" applyAlignment="1">
      <alignment vertical="center"/>
    </xf>
    <xf numFmtId="168" fontId="54" fillId="0" borderId="0" xfId="0" applyNumberFormat="1" applyFont="1" applyFill="1" applyAlignment="1">
      <alignment horizontal="right" vertical="center"/>
    </xf>
    <xf numFmtId="168" fontId="58" fillId="0" borderId="0" xfId="0" applyNumberFormat="1" applyFont="1" applyFill="1" applyBorder="1" applyAlignment="1">
      <alignment vertical="center"/>
    </xf>
    <xf numFmtId="168" fontId="54" fillId="0" borderId="0" xfId="0" applyNumberFormat="1" applyFont="1" applyFill="1" applyBorder="1" applyAlignment="1">
      <alignment vertical="center"/>
    </xf>
    <xf numFmtId="168" fontId="54" fillId="0" borderId="12" xfId="0" applyNumberFormat="1" applyFont="1" applyFill="1" applyBorder="1" applyAlignment="1">
      <alignment vertical="center"/>
    </xf>
    <xf numFmtId="168" fontId="58" fillId="0" borderId="0" xfId="42" applyNumberFormat="1" applyFont="1" applyFill="1" applyAlignment="1">
      <alignment vertical="center"/>
    </xf>
    <xf numFmtId="168" fontId="56" fillId="0" borderId="0" xfId="0" applyNumberFormat="1" applyFont="1" applyFill="1" applyAlignment="1">
      <alignment horizontal="left" vertical="center"/>
    </xf>
    <xf numFmtId="168" fontId="56" fillId="0" borderId="0" xfId="0" applyNumberFormat="1" applyFont="1" applyFill="1" applyAlignment="1">
      <alignment horizontal="center" vertical="center"/>
    </xf>
    <xf numFmtId="168" fontId="54" fillId="0" borderId="11" xfId="0" applyNumberFormat="1" applyFont="1" applyFill="1" applyBorder="1" applyAlignment="1">
      <alignment horizontal="right" vertical="center"/>
    </xf>
    <xf numFmtId="168" fontId="54" fillId="0" borderId="10" xfId="0" applyNumberFormat="1" applyFont="1" applyFill="1" applyBorder="1" applyAlignment="1">
      <alignment horizontal="right" vertical="center"/>
    </xf>
    <xf numFmtId="168" fontId="58" fillId="0" borderId="11" xfId="0" applyNumberFormat="1" applyFont="1" applyFill="1" applyBorder="1" applyAlignment="1">
      <alignment vertical="center"/>
    </xf>
    <xf numFmtId="171" fontId="58" fillId="0" borderId="0" xfId="0" applyNumberFormat="1" applyFont="1" applyFill="1" applyAlignment="1">
      <alignment vertical="center"/>
    </xf>
    <xf numFmtId="164" fontId="58" fillId="0" borderId="0" xfId="42" applyFont="1" applyFill="1" applyAlignment="1">
      <alignment horizontal="center" vertical="center"/>
    </xf>
    <xf numFmtId="164" fontId="58" fillId="0" borderId="0" xfId="42" applyFont="1" applyFill="1" applyAlignment="1">
      <alignment vertical="center"/>
    </xf>
    <xf numFmtId="0" fontId="58" fillId="0" borderId="0" xfId="0" applyFont="1" applyFill="1" applyAlignment="1">
      <alignment horizontal="left" vertical="center"/>
    </xf>
    <xf numFmtId="168" fontId="54" fillId="0" borderId="0" xfId="0" applyNumberFormat="1" applyFont="1" applyFill="1" applyBorder="1" applyAlignment="1">
      <alignment horizontal="right" vertical="center"/>
    </xf>
    <xf numFmtId="168" fontId="54" fillId="0" borderId="0" xfId="0" applyNumberFormat="1" applyFont="1" applyFill="1" applyBorder="1" applyAlignment="1">
      <alignment horizontal="center" vertical="center"/>
    </xf>
    <xf numFmtId="168" fontId="58" fillId="0" borderId="0" xfId="42" applyNumberFormat="1" applyFont="1" applyFill="1" applyAlignment="1">
      <alignment horizontal="right" vertical="center"/>
    </xf>
    <xf numFmtId="168" fontId="58" fillId="0" borderId="11" xfId="42" applyNumberFormat="1" applyFont="1" applyFill="1" applyBorder="1" applyAlignment="1">
      <alignment horizontal="right" vertical="center"/>
    </xf>
    <xf numFmtId="0" fontId="54" fillId="0" borderId="0" xfId="0" applyNumberFormat="1" applyFont="1" applyFill="1" applyAlignment="1">
      <alignment horizontal="center" vertical="center"/>
    </xf>
    <xf numFmtId="168" fontId="58" fillId="0" borderId="0" xfId="0" applyNumberFormat="1" applyFont="1" applyFill="1" applyBorder="1" applyAlignment="1" quotePrefix="1">
      <alignment horizontal="right" vertical="center"/>
    </xf>
    <xf numFmtId="166" fontId="54" fillId="0" borderId="0" xfId="0" applyNumberFormat="1" applyFont="1" applyFill="1" applyBorder="1" applyAlignment="1">
      <alignment vertical="center"/>
    </xf>
    <xf numFmtId="165" fontId="58" fillId="0" borderId="0" xfId="0" applyNumberFormat="1" applyFont="1" applyFill="1" applyBorder="1" applyAlignment="1">
      <alignment horizontal="right" vertical="center"/>
    </xf>
    <xf numFmtId="165" fontId="58" fillId="0" borderId="0" xfId="0" applyNumberFormat="1" applyFont="1" applyFill="1" applyBorder="1" applyAlignment="1">
      <alignment horizontal="center" vertical="center"/>
    </xf>
    <xf numFmtId="167" fontId="58" fillId="0" borderId="0" xfId="0" applyNumberFormat="1" applyFont="1" applyFill="1" applyAlignment="1">
      <alignment horizontal="right" vertical="center"/>
    </xf>
    <xf numFmtId="166" fontId="58" fillId="0" borderId="0" xfId="0" applyNumberFormat="1" applyFont="1" applyFill="1" applyBorder="1" applyAlignment="1">
      <alignment vertical="center"/>
    </xf>
    <xf numFmtId="0" fontId="56" fillId="0" borderId="0" xfId="0" applyNumberFormat="1" applyFont="1" applyFill="1" applyAlignment="1" quotePrefix="1">
      <alignment horizontal="center" vertical="center"/>
    </xf>
    <xf numFmtId="164" fontId="0" fillId="0" borderId="0" xfId="42" applyFont="1" applyFill="1" applyAlignment="1">
      <alignment/>
    </xf>
    <xf numFmtId="168" fontId="59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8" fontId="3" fillId="0" borderId="10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3" fillId="0" borderId="12" xfId="0" applyNumberFormat="1" applyFont="1" applyFill="1" applyBorder="1" applyAlignment="1">
      <alignment vertical="center"/>
    </xf>
    <xf numFmtId="168" fontId="3" fillId="0" borderId="0" xfId="0" applyNumberFormat="1" applyFont="1" applyFill="1" applyAlignment="1">
      <alignment vertical="center"/>
    </xf>
    <xf numFmtId="168" fontId="3" fillId="0" borderId="1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164" fontId="5" fillId="0" borderId="0" xfId="42" applyFont="1" applyFill="1" applyAlignment="1">
      <alignment vertical="center"/>
    </xf>
    <xf numFmtId="174" fontId="3" fillId="0" borderId="0" xfId="58" applyNumberFormat="1" applyFont="1" applyFill="1" applyAlignment="1">
      <alignment vertical="center"/>
      <protection/>
    </xf>
    <xf numFmtId="174" fontId="3" fillId="0" borderId="0" xfId="0" applyNumberFormat="1" applyFont="1" applyFill="1" applyAlignment="1">
      <alignment vertical="center"/>
    </xf>
    <xf numFmtId="174" fontId="2" fillId="0" borderId="0" xfId="58" applyNumberFormat="1" applyFont="1" applyFill="1" applyAlignment="1">
      <alignment horizontal="center" vertical="center"/>
      <protection/>
    </xf>
    <xf numFmtId="174" fontId="2" fillId="0" borderId="0" xfId="0" applyNumberFormat="1" applyFont="1" applyFill="1" applyAlignment="1">
      <alignment horizontal="center" vertical="center"/>
    </xf>
    <xf numFmtId="174" fontId="5" fillId="0" borderId="0" xfId="58" applyNumberFormat="1" applyFont="1" applyFill="1" applyAlignment="1">
      <alignment vertical="center"/>
      <protection/>
    </xf>
    <xf numFmtId="175" fontId="3" fillId="0" borderId="0" xfId="42" applyNumberFormat="1" applyFont="1" applyFill="1" applyAlignment="1">
      <alignment vertical="center"/>
    </xf>
    <xf numFmtId="175" fontId="2" fillId="0" borderId="0" xfId="42" applyNumberFormat="1" applyFont="1" applyFill="1" applyAlignment="1">
      <alignment horizontal="center" vertical="center"/>
    </xf>
    <xf numFmtId="175" fontId="5" fillId="0" borderId="0" xfId="42" applyNumberFormat="1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170" fontId="55" fillId="0" borderId="0" xfId="42" applyNumberFormat="1" applyFont="1" applyFill="1" applyBorder="1" applyAlignment="1">
      <alignment vertical="center"/>
    </xf>
    <xf numFmtId="173" fontId="55" fillId="0" borderId="0" xfId="42" applyNumberFormat="1" applyFont="1" applyFill="1" applyBorder="1" applyAlignment="1">
      <alignment vertical="center"/>
    </xf>
    <xf numFmtId="173" fontId="59" fillId="0" borderId="0" xfId="42" applyNumberFormat="1" applyFont="1" applyFill="1" applyBorder="1" applyAlignment="1">
      <alignment horizontal="right" vertical="center"/>
    </xf>
    <xf numFmtId="168" fontId="53" fillId="0" borderId="0" xfId="58" applyNumberFormat="1" applyFont="1" applyFill="1" applyAlignment="1">
      <alignment vertical="center"/>
      <protection/>
    </xf>
    <xf numFmtId="168" fontId="53" fillId="0" borderId="0" xfId="58" applyNumberFormat="1" applyFont="1" applyFill="1" applyBorder="1" applyAlignment="1">
      <alignment vertical="center"/>
      <protection/>
    </xf>
    <xf numFmtId="168" fontId="3" fillId="0" borderId="13" xfId="0" applyNumberFormat="1" applyFont="1" applyFill="1" applyBorder="1" applyAlignment="1">
      <alignment horizontal="right" vertical="center"/>
    </xf>
    <xf numFmtId="175" fontId="5" fillId="0" borderId="0" xfId="42" applyNumberFormat="1" applyFont="1" applyFill="1" applyBorder="1" applyAlignment="1">
      <alignment vertical="center"/>
    </xf>
    <xf numFmtId="168" fontId="3" fillId="0" borderId="0" xfId="45" applyNumberFormat="1" applyFont="1" applyFill="1" applyBorder="1" applyAlignment="1">
      <alignment horizontal="right" vertical="center"/>
    </xf>
    <xf numFmtId="168" fontId="3" fillId="0" borderId="0" xfId="45" applyNumberFormat="1" applyFont="1" applyFill="1" applyAlignment="1">
      <alignment horizontal="right" vertical="center"/>
    </xf>
    <xf numFmtId="168" fontId="5" fillId="0" borderId="0" xfId="45" applyNumberFormat="1" applyFont="1" applyFill="1" applyAlignment="1">
      <alignment horizontal="right" vertical="center"/>
    </xf>
    <xf numFmtId="168" fontId="5" fillId="0" borderId="0" xfId="45" applyNumberFormat="1" applyFont="1" applyFill="1" applyBorder="1" applyAlignment="1">
      <alignment horizontal="right" vertical="center"/>
    </xf>
    <xf numFmtId="168" fontId="3" fillId="0" borderId="12" xfId="45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7" fontId="58" fillId="0" borderId="0" xfId="0" applyNumberFormat="1" applyFont="1" applyFill="1" applyBorder="1" applyAlignment="1">
      <alignment vertical="center"/>
    </xf>
    <xf numFmtId="170" fontId="3" fillId="0" borderId="10" xfId="42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43" fontId="60" fillId="0" borderId="0" xfId="42" applyNumberFormat="1" applyFont="1" applyFill="1" applyAlignment="1">
      <alignment/>
    </xf>
    <xf numFmtId="40" fontId="5" fillId="0" borderId="0" xfId="0" applyNumberFormat="1" applyFont="1" applyFill="1" applyAlignment="1">
      <alignment vertical="center"/>
    </xf>
    <xf numFmtId="40" fontId="61" fillId="0" borderId="0" xfId="42" applyNumberFormat="1" applyFont="1" applyFill="1" applyBorder="1" applyAlignment="1">
      <alignment/>
    </xf>
    <xf numFmtId="164" fontId="5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77" fontId="54" fillId="0" borderId="0" xfId="0" applyNumberFormat="1" applyFont="1" applyFill="1" applyBorder="1" applyAlignment="1">
      <alignment vertical="center"/>
    </xf>
    <xf numFmtId="0" fontId="54" fillId="0" borderId="0" xfId="60" applyFont="1" applyFill="1" applyAlignment="1">
      <alignment vertical="center"/>
      <protection/>
    </xf>
    <xf numFmtId="0" fontId="58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vertical="center"/>
      <protection/>
    </xf>
    <xf numFmtId="0" fontId="56" fillId="0" borderId="0" xfId="60" applyFont="1" applyFill="1" applyAlignment="1">
      <alignment vertical="center"/>
      <protection/>
    </xf>
    <xf numFmtId="0" fontId="56" fillId="0" borderId="0" xfId="60" applyFont="1" applyFill="1" applyAlignment="1">
      <alignment horizontal="center"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56" fillId="0" borderId="0" xfId="60" applyNumberFormat="1" applyFont="1" applyFill="1" applyAlignment="1">
      <alignment horizontal="center" vertical="center"/>
      <protection/>
    </xf>
    <xf numFmtId="0" fontId="58" fillId="0" borderId="0" xfId="60" applyFont="1" applyFill="1" applyAlignment="1">
      <alignment vertical="center"/>
      <protection/>
    </xf>
    <xf numFmtId="0" fontId="2" fillId="0" borderId="0" xfId="60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168" fontId="58" fillId="0" borderId="0" xfId="60" applyNumberFormat="1" applyFont="1" applyFill="1" applyAlignment="1">
      <alignment vertical="center"/>
      <protection/>
    </xf>
    <xf numFmtId="0" fontId="58" fillId="0" borderId="0" xfId="60" applyNumberFormat="1" applyFont="1" applyFill="1" applyAlignment="1">
      <alignment horizontal="center" vertical="center"/>
      <protection/>
    </xf>
    <xf numFmtId="168" fontId="5" fillId="0" borderId="0" xfId="60" applyNumberFormat="1" applyFont="1" applyFill="1" applyAlignment="1">
      <alignment horizontal="right" vertical="center"/>
      <protection/>
    </xf>
    <xf numFmtId="168" fontId="58" fillId="0" borderId="0" xfId="60" applyNumberFormat="1" applyFont="1" applyFill="1" applyBorder="1" applyAlignment="1">
      <alignment horizontal="right" vertical="center"/>
      <protection/>
    </xf>
    <xf numFmtId="168" fontId="58" fillId="0" borderId="0" xfId="60" applyNumberFormat="1" applyFont="1" applyFill="1" applyAlignment="1">
      <alignment horizontal="right" vertical="center"/>
      <protection/>
    </xf>
    <xf numFmtId="168" fontId="58" fillId="0" borderId="0" xfId="60" applyNumberFormat="1" applyFont="1" applyFill="1" applyBorder="1" applyAlignment="1" quotePrefix="1">
      <alignment horizontal="center" vertical="center"/>
      <protection/>
    </xf>
    <xf numFmtId="168" fontId="58" fillId="0" borderId="0" xfId="60" applyNumberFormat="1" applyFont="1" applyFill="1" applyBorder="1" applyAlignment="1">
      <alignment horizontal="center" vertical="center"/>
      <protection/>
    </xf>
    <xf numFmtId="168" fontId="5" fillId="0" borderId="0" xfId="60" applyNumberFormat="1" applyFont="1" applyFill="1" applyBorder="1" applyAlignment="1">
      <alignment horizontal="right" vertical="center"/>
      <protection/>
    </xf>
    <xf numFmtId="168" fontId="58" fillId="0" borderId="0" xfId="60" applyNumberFormat="1" applyFont="1" applyFill="1" applyBorder="1" applyAlignment="1" quotePrefix="1">
      <alignment horizontal="left" vertical="center"/>
      <protection/>
    </xf>
    <xf numFmtId="168" fontId="5" fillId="0" borderId="11" xfId="60" applyNumberFormat="1" applyFont="1" applyFill="1" applyBorder="1" applyAlignment="1">
      <alignment horizontal="right" vertical="center"/>
      <protection/>
    </xf>
    <xf numFmtId="168" fontId="58" fillId="0" borderId="11" xfId="60" applyNumberFormat="1" applyFont="1" applyFill="1" applyBorder="1" applyAlignment="1">
      <alignment horizontal="right" vertical="center"/>
      <protection/>
    </xf>
    <xf numFmtId="168" fontId="54" fillId="0" borderId="0" xfId="60" applyNumberFormat="1" applyFont="1" applyFill="1" applyAlignment="1">
      <alignment vertical="center"/>
      <protection/>
    </xf>
    <xf numFmtId="168" fontId="54" fillId="0" borderId="10" xfId="60" applyNumberFormat="1" applyFont="1" applyFill="1" applyBorder="1" applyAlignment="1">
      <alignment vertical="center"/>
      <protection/>
    </xf>
    <xf numFmtId="168" fontId="54" fillId="0" borderId="0" xfId="60" applyNumberFormat="1" applyFont="1" applyFill="1" applyAlignment="1">
      <alignment horizontal="right" vertical="center"/>
      <protection/>
    </xf>
    <xf numFmtId="168" fontId="3" fillId="0" borderId="0" xfId="60" applyNumberFormat="1" applyFont="1" applyFill="1" applyAlignment="1">
      <alignment horizontal="right" vertical="center"/>
      <protection/>
    </xf>
    <xf numFmtId="168" fontId="58" fillId="0" borderId="0" xfId="60" applyNumberFormat="1" applyFont="1" applyFill="1" applyBorder="1" applyAlignment="1">
      <alignment vertical="center"/>
      <protection/>
    </xf>
    <xf numFmtId="168" fontId="5" fillId="0" borderId="0" xfId="60" applyNumberFormat="1" applyFont="1" applyFill="1" applyAlignment="1">
      <alignment vertical="center"/>
      <protection/>
    </xf>
    <xf numFmtId="168" fontId="54" fillId="0" borderId="0" xfId="60" applyNumberFormat="1" applyFont="1" applyFill="1" applyBorder="1" applyAlignment="1">
      <alignment vertical="center"/>
      <protection/>
    </xf>
    <xf numFmtId="168" fontId="54" fillId="0" borderId="12" xfId="60" applyNumberFormat="1" applyFont="1" applyFill="1" applyBorder="1" applyAlignment="1">
      <alignment vertical="center"/>
      <protection/>
    </xf>
    <xf numFmtId="168" fontId="5" fillId="0" borderId="0" xfId="42" applyNumberFormat="1" applyFont="1" applyFill="1" applyAlignment="1">
      <alignment vertical="center"/>
    </xf>
    <xf numFmtId="168" fontId="56" fillId="0" borderId="0" xfId="60" applyNumberFormat="1" applyFont="1" applyFill="1" applyAlignment="1">
      <alignment horizontal="left" vertical="center"/>
      <protection/>
    </xf>
    <xf numFmtId="168" fontId="3" fillId="0" borderId="0" xfId="60" applyNumberFormat="1" applyFont="1" applyFill="1" applyAlignment="1">
      <alignment vertical="center"/>
      <protection/>
    </xf>
    <xf numFmtId="0" fontId="5" fillId="0" borderId="0" xfId="60" applyFont="1" applyFill="1" applyAlignment="1">
      <alignment horizontal="center" vertical="center"/>
      <protection/>
    </xf>
    <xf numFmtId="168" fontId="56" fillId="0" borderId="0" xfId="60" applyNumberFormat="1" applyFont="1" applyFill="1" applyAlignment="1">
      <alignment horizontal="center" vertical="center"/>
      <protection/>
    </xf>
    <xf numFmtId="168" fontId="2" fillId="0" borderId="0" xfId="60" applyNumberFormat="1" applyFont="1" applyFill="1" applyAlignment="1">
      <alignment horizontal="center" vertical="center"/>
      <protection/>
    </xf>
    <xf numFmtId="168" fontId="54" fillId="0" borderId="10" xfId="60" applyNumberFormat="1" applyFont="1" applyFill="1" applyBorder="1" applyAlignment="1">
      <alignment horizontal="right" vertical="center"/>
      <protection/>
    </xf>
    <xf numFmtId="168" fontId="54" fillId="0" borderId="11" xfId="60" applyNumberFormat="1" applyFont="1" applyFill="1" applyBorder="1" applyAlignment="1">
      <alignment horizontal="right" vertical="center"/>
      <protection/>
    </xf>
    <xf numFmtId="168" fontId="5" fillId="0" borderId="11" xfId="60" applyNumberFormat="1" applyFont="1" applyFill="1" applyBorder="1" applyAlignment="1">
      <alignment vertical="center"/>
      <protection/>
    </xf>
    <xf numFmtId="168" fontId="58" fillId="0" borderId="11" xfId="60" applyNumberFormat="1" applyFont="1" applyFill="1" applyBorder="1" applyAlignment="1">
      <alignment vertical="center"/>
      <protection/>
    </xf>
    <xf numFmtId="171" fontId="58" fillId="0" borderId="0" xfId="60" applyNumberFormat="1" applyFont="1" applyFill="1" applyAlignment="1">
      <alignment vertical="center"/>
      <protection/>
    </xf>
    <xf numFmtId="0" fontId="58" fillId="0" borderId="0" xfId="60" applyFont="1" applyFill="1" applyAlignment="1">
      <alignment horizontal="left" vertical="center"/>
      <protection/>
    </xf>
    <xf numFmtId="0" fontId="56" fillId="0" borderId="0" xfId="60" applyFont="1" applyFill="1" applyBorder="1" applyAlignment="1">
      <alignment vertical="center"/>
      <protection/>
    </xf>
    <xf numFmtId="0" fontId="56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vertical="center"/>
      <protection/>
    </xf>
    <xf numFmtId="0" fontId="58" fillId="0" borderId="0" xfId="60" applyFont="1" applyFill="1" applyBorder="1" applyAlignment="1">
      <alignment vertical="center"/>
      <protection/>
    </xf>
    <xf numFmtId="168" fontId="5" fillId="0" borderId="0" xfId="60" applyNumberFormat="1" applyFont="1" applyFill="1" applyBorder="1" applyAlignment="1">
      <alignment vertical="center"/>
      <protection/>
    </xf>
    <xf numFmtId="164" fontId="58" fillId="0" borderId="0" xfId="42" applyFont="1" applyFill="1" applyBorder="1" applyAlignment="1">
      <alignment vertical="center"/>
    </xf>
    <xf numFmtId="168" fontId="5" fillId="0" borderId="11" xfId="42" applyNumberFormat="1" applyFont="1" applyFill="1" applyBorder="1" applyAlignment="1">
      <alignment vertical="center"/>
    </xf>
    <xf numFmtId="168" fontId="5" fillId="0" borderId="0" xfId="42" applyNumberFormat="1" applyFont="1" applyFill="1" applyBorder="1" applyAlignment="1">
      <alignment vertical="center"/>
    </xf>
    <xf numFmtId="168" fontId="3" fillId="0" borderId="10" xfId="60" applyNumberFormat="1" applyFont="1" applyFill="1" applyBorder="1" applyAlignment="1">
      <alignment horizontal="right" vertical="center"/>
      <protection/>
    </xf>
    <xf numFmtId="168" fontId="54" fillId="0" borderId="0" xfId="60" applyNumberFormat="1" applyFont="1" applyFill="1" applyBorder="1" applyAlignment="1">
      <alignment horizontal="right" vertical="center"/>
      <protection/>
    </xf>
    <xf numFmtId="168" fontId="54" fillId="0" borderId="0" xfId="60" applyNumberFormat="1" applyFont="1" applyFill="1" applyBorder="1" applyAlignment="1">
      <alignment horizontal="center" vertical="center"/>
      <protection/>
    </xf>
    <xf numFmtId="168" fontId="3" fillId="0" borderId="0" xfId="60" applyNumberFormat="1" applyFont="1" applyFill="1" applyBorder="1" applyAlignment="1">
      <alignment horizontal="right" vertical="center"/>
      <protection/>
    </xf>
    <xf numFmtId="168" fontId="3" fillId="0" borderId="13" xfId="60" applyNumberFormat="1" applyFont="1" applyFill="1" applyBorder="1" applyAlignment="1">
      <alignment horizontal="right" vertical="center"/>
      <protection/>
    </xf>
    <xf numFmtId="168" fontId="3" fillId="0" borderId="12" xfId="60" applyNumberFormat="1" applyFont="1" applyFill="1" applyBorder="1" applyAlignment="1">
      <alignment vertical="center"/>
      <protection/>
    </xf>
    <xf numFmtId="168" fontId="3" fillId="0" borderId="0" xfId="60" applyNumberFormat="1" applyFont="1" applyFill="1" applyBorder="1" applyAlignment="1">
      <alignment vertical="center"/>
      <protection/>
    </xf>
    <xf numFmtId="168" fontId="58" fillId="0" borderId="0" xfId="60" applyNumberFormat="1" applyFont="1" applyFill="1" applyBorder="1" applyAlignment="1" quotePrefix="1">
      <alignment horizontal="right" vertical="center"/>
      <protection/>
    </xf>
    <xf numFmtId="165" fontId="5" fillId="0" borderId="0" xfId="60" applyNumberFormat="1" applyFont="1" applyFill="1" applyBorder="1" applyAlignment="1">
      <alignment horizontal="right" vertical="center"/>
      <protection/>
    </xf>
    <xf numFmtId="165" fontId="58" fillId="0" borderId="0" xfId="60" applyNumberFormat="1" applyFont="1" applyFill="1" applyBorder="1" applyAlignment="1">
      <alignment horizontal="right" vertical="center"/>
      <protection/>
    </xf>
    <xf numFmtId="165" fontId="58" fillId="0" borderId="0" xfId="60" applyNumberFormat="1" applyFont="1" applyFill="1" applyBorder="1" applyAlignment="1">
      <alignment horizontal="center" vertical="center"/>
      <protection/>
    </xf>
    <xf numFmtId="165" fontId="58" fillId="0" borderId="0" xfId="60" applyNumberFormat="1" applyFont="1" applyFill="1" applyBorder="1" applyAlignment="1">
      <alignment vertical="center"/>
      <protection/>
    </xf>
    <xf numFmtId="165" fontId="5" fillId="0" borderId="0" xfId="60" applyNumberFormat="1" applyFont="1" applyFill="1" applyBorder="1" applyAlignment="1">
      <alignment horizontal="center" vertical="center"/>
      <protection/>
    </xf>
    <xf numFmtId="167" fontId="5" fillId="0" borderId="0" xfId="60" applyNumberFormat="1" applyFont="1" applyFill="1" applyAlignment="1">
      <alignment horizontal="right" vertical="center"/>
      <protection/>
    </xf>
    <xf numFmtId="167" fontId="58" fillId="0" borderId="0" xfId="60" applyNumberFormat="1" applyFont="1" applyFill="1" applyAlignment="1">
      <alignment horizontal="right" vertical="center"/>
      <protection/>
    </xf>
    <xf numFmtId="166" fontId="58" fillId="0" borderId="0" xfId="60" applyNumberFormat="1" applyFont="1" applyFill="1" applyBorder="1" applyAlignment="1">
      <alignment vertical="center"/>
      <protection/>
    </xf>
    <xf numFmtId="0" fontId="54" fillId="0" borderId="0" xfId="60" applyFont="1" applyFill="1" applyBorder="1" applyAlignment="1">
      <alignment vertical="center"/>
      <protection/>
    </xf>
    <xf numFmtId="164" fontId="54" fillId="0" borderId="0" xfId="42" applyFont="1" applyFill="1" applyBorder="1" applyAlignment="1">
      <alignment vertical="center"/>
    </xf>
    <xf numFmtId="164" fontId="56" fillId="0" borderId="0" xfId="42" applyFont="1" applyFill="1" applyBorder="1" applyAlignment="1">
      <alignment vertical="center"/>
    </xf>
    <xf numFmtId="164" fontId="56" fillId="0" borderId="0" xfId="42" applyFont="1" applyFill="1" applyBorder="1" applyAlignment="1">
      <alignment horizontal="center" vertical="center"/>
    </xf>
    <xf numFmtId="0" fontId="2" fillId="0" borderId="0" xfId="60" applyNumberFormat="1" applyFont="1" applyFill="1" applyAlignment="1" quotePrefix="1">
      <alignment horizontal="center" vertical="center"/>
      <protection/>
    </xf>
    <xf numFmtId="0" fontId="56" fillId="0" borderId="0" xfId="60" applyNumberFormat="1" applyFont="1" applyFill="1" applyAlignment="1" quotePrefix="1">
      <alignment horizontal="center" vertical="center"/>
      <protection/>
    </xf>
    <xf numFmtId="0" fontId="54" fillId="0" borderId="0" xfId="60" applyNumberFormat="1" applyFont="1" applyFill="1" applyAlignment="1">
      <alignment horizontal="center" vertical="center"/>
      <protection/>
    </xf>
    <xf numFmtId="168" fontId="3" fillId="0" borderId="10" xfId="60" applyNumberFormat="1" applyFont="1" applyFill="1" applyBorder="1" applyAlignment="1">
      <alignment vertical="center"/>
      <protection/>
    </xf>
    <xf numFmtId="168" fontId="59" fillId="0" borderId="0" xfId="60" applyNumberFormat="1" applyFont="1" applyFill="1" applyAlignment="1">
      <alignment vertical="center"/>
      <protection/>
    </xf>
    <xf numFmtId="0" fontId="59" fillId="0" borderId="0" xfId="60" applyFont="1" applyFill="1" applyAlignment="1">
      <alignment vertical="center"/>
      <protection/>
    </xf>
    <xf numFmtId="164" fontId="59" fillId="0" borderId="0" xfId="42" applyFont="1" applyFill="1" applyAlignment="1">
      <alignment vertical="center"/>
    </xf>
    <xf numFmtId="0" fontId="5" fillId="0" borderId="0" xfId="60" applyFont="1" applyFill="1" applyAlignment="1">
      <alignment horizontal="left"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165" fontId="5" fillId="0" borderId="0" xfId="60" applyNumberFormat="1" applyFont="1" applyFill="1" applyBorder="1" applyAlignment="1">
      <alignment vertical="center"/>
      <protection/>
    </xf>
    <xf numFmtId="165" fontId="3" fillId="0" borderId="0" xfId="60" applyNumberFormat="1" applyFont="1" applyFill="1" applyAlignment="1">
      <alignment vertical="center"/>
      <protection/>
    </xf>
    <xf numFmtId="0" fontId="3" fillId="0" borderId="13" xfId="60" applyFont="1" applyFill="1" applyBorder="1" applyAlignment="1">
      <alignment vertical="center"/>
      <protection/>
    </xf>
    <xf numFmtId="168" fontId="3" fillId="0" borderId="14" xfId="45" applyNumberFormat="1" applyFont="1" applyFill="1" applyBorder="1" applyAlignment="1">
      <alignment horizontal="right" vertical="center"/>
    </xf>
    <xf numFmtId="170" fontId="5" fillId="0" borderId="0" xfId="42" applyNumberFormat="1" applyFont="1" applyFill="1" applyAlignment="1">
      <alignment vertical="center"/>
    </xf>
    <xf numFmtId="165" fontId="5" fillId="0" borderId="0" xfId="60" applyNumberFormat="1" applyFont="1" applyFill="1" applyAlignment="1">
      <alignment vertical="center"/>
      <protection/>
    </xf>
    <xf numFmtId="170" fontId="5" fillId="0" borderId="0" xfId="60" applyNumberFormat="1" applyFont="1" applyFill="1" applyAlignment="1">
      <alignment vertical="center"/>
      <protection/>
    </xf>
    <xf numFmtId="164" fontId="5" fillId="0" borderId="0" xfId="60" applyNumberFormat="1" applyFont="1" applyFill="1" applyAlignment="1">
      <alignment vertical="center"/>
      <protection/>
    </xf>
    <xf numFmtId="0" fontId="10" fillId="0" borderId="0" xfId="59" applyFont="1" applyFill="1" applyAlignment="1">
      <alignment vertical="center"/>
      <protection/>
    </xf>
    <xf numFmtId="0" fontId="3" fillId="0" borderId="0" xfId="59" applyFont="1" applyFill="1" applyAlignment="1">
      <alignment vertical="center"/>
      <protection/>
    </xf>
    <xf numFmtId="0" fontId="5" fillId="0" borderId="0" xfId="59" applyFont="1" applyFill="1" applyAlignment="1">
      <alignment horizontal="left" vertical="center"/>
      <protection/>
    </xf>
    <xf numFmtId="0" fontId="3" fillId="0" borderId="0" xfId="59" applyFont="1" applyFill="1" applyAlignment="1">
      <alignment horizontal="centerContinuous"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57" fillId="0" borderId="0" xfId="59" applyFont="1" applyFill="1" applyAlignment="1">
      <alignment horizontal="center" vertical="center"/>
      <protection/>
    </xf>
    <xf numFmtId="0" fontId="2" fillId="0" borderId="0" xfId="59" applyFont="1" applyFill="1" applyAlignment="1">
      <alignment horizontal="center" vertical="center"/>
      <protection/>
    </xf>
    <xf numFmtId="0" fontId="56" fillId="0" borderId="0" xfId="59" applyFont="1" applyFill="1" applyAlignment="1">
      <alignment vertical="center"/>
      <protection/>
    </xf>
    <xf numFmtId="0" fontId="2" fillId="0" borderId="0" xfId="59" applyNumberFormat="1" applyFont="1" applyFill="1" applyAlignment="1" quotePrefix="1">
      <alignment horizontal="center" vertical="center"/>
      <protection/>
    </xf>
    <xf numFmtId="0" fontId="3" fillId="0" borderId="0" xfId="59" applyNumberFormat="1" applyFont="1" applyFill="1" applyAlignment="1">
      <alignment horizontal="center" vertical="center"/>
      <protection/>
    </xf>
    <xf numFmtId="165" fontId="3" fillId="0" borderId="0" xfId="59" applyNumberFormat="1" applyFont="1" applyFill="1" applyAlignment="1">
      <alignment vertical="center"/>
      <protection/>
    </xf>
    <xf numFmtId="0" fontId="5" fillId="0" borderId="0" xfId="59" applyFont="1" applyFill="1" applyAlignment="1">
      <alignment vertical="center"/>
      <protection/>
    </xf>
    <xf numFmtId="168" fontId="5" fillId="0" borderId="0" xfId="59" applyNumberFormat="1" applyFont="1" applyFill="1" applyBorder="1" applyAlignment="1">
      <alignment horizontal="right" vertical="center"/>
      <protection/>
    </xf>
    <xf numFmtId="178" fontId="5" fillId="0" borderId="0" xfId="59" applyNumberFormat="1" applyFont="1" applyFill="1" applyAlignment="1">
      <alignment vertical="center"/>
      <protection/>
    </xf>
    <xf numFmtId="168" fontId="5" fillId="0" borderId="0" xfId="59" applyNumberFormat="1" applyFont="1" applyFill="1" applyAlignment="1">
      <alignment vertical="center"/>
      <protection/>
    </xf>
    <xf numFmtId="168" fontId="5" fillId="0" borderId="0" xfId="59" applyNumberFormat="1" applyFont="1" applyFill="1" applyBorder="1" applyAlignment="1">
      <alignment horizontal="center" vertical="center"/>
      <protection/>
    </xf>
    <xf numFmtId="0" fontId="4" fillId="0" borderId="0" xfId="59" applyFont="1" applyFill="1" applyAlignment="1">
      <alignment vertical="center"/>
      <protection/>
    </xf>
    <xf numFmtId="168" fontId="4" fillId="0" borderId="0" xfId="59" applyNumberFormat="1" applyFont="1" applyFill="1" applyBorder="1" applyAlignment="1">
      <alignment horizontal="right" vertical="center"/>
      <protection/>
    </xf>
    <xf numFmtId="168" fontId="4" fillId="0" borderId="0" xfId="59" applyNumberFormat="1" applyFont="1" applyFill="1" applyAlignment="1">
      <alignment horizontal="right" vertical="center"/>
      <protection/>
    </xf>
    <xf numFmtId="168" fontId="5" fillId="0" borderId="0" xfId="59" applyNumberFormat="1" applyFont="1" applyFill="1" applyAlignment="1">
      <alignment horizontal="right" vertical="center"/>
      <protection/>
    </xf>
    <xf numFmtId="0" fontId="5" fillId="0" borderId="0" xfId="59" applyFont="1" applyFill="1" applyAlignment="1" quotePrefix="1">
      <alignment horizontal="left" vertical="center"/>
      <protection/>
    </xf>
    <xf numFmtId="168" fontId="5" fillId="0" borderId="0" xfId="59" applyNumberFormat="1" applyFont="1" applyFill="1" applyBorder="1" applyAlignment="1">
      <alignment vertical="center"/>
      <protection/>
    </xf>
    <xf numFmtId="168" fontId="3" fillId="0" borderId="10" xfId="59" applyNumberFormat="1" applyFont="1" applyFill="1" applyBorder="1" applyAlignment="1">
      <alignment horizontal="right" vertical="center"/>
      <protection/>
    </xf>
    <xf numFmtId="168" fontId="3" fillId="0" borderId="0" xfId="59" applyNumberFormat="1" applyFont="1" applyFill="1" applyBorder="1" applyAlignment="1">
      <alignment horizontal="right" vertical="center"/>
      <protection/>
    </xf>
    <xf numFmtId="168" fontId="5" fillId="0" borderId="0" xfId="59" applyNumberFormat="1" applyFont="1" applyFill="1">
      <alignment/>
      <protection/>
    </xf>
    <xf numFmtId="0" fontId="5" fillId="0" borderId="0" xfId="59" applyFont="1" applyFill="1" applyAlignment="1">
      <alignment/>
      <protection/>
    </xf>
    <xf numFmtId="165" fontId="5" fillId="0" borderId="0" xfId="59" applyNumberFormat="1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3" fontId="5" fillId="0" borderId="0" xfId="59" applyNumberFormat="1" applyFont="1" applyFill="1" applyBorder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168" fontId="3" fillId="0" borderId="0" xfId="59" applyNumberFormat="1" applyFont="1" applyFill="1" applyBorder="1" applyAlignment="1">
      <alignment vertical="center"/>
      <protection/>
    </xf>
    <xf numFmtId="168" fontId="3" fillId="0" borderId="10" xfId="59" applyNumberFormat="1" applyFont="1" applyFill="1" applyBorder="1" applyAlignment="1">
      <alignment vertical="center"/>
      <protection/>
    </xf>
    <xf numFmtId="168" fontId="3" fillId="0" borderId="11" xfId="59" applyNumberFormat="1" applyFont="1" applyFill="1" applyBorder="1" applyAlignment="1">
      <alignment vertical="center"/>
      <protection/>
    </xf>
    <xf numFmtId="168" fontId="2" fillId="0" borderId="0" xfId="59" applyNumberFormat="1" applyFont="1" applyFill="1" applyAlignment="1">
      <alignment vertical="center"/>
      <protection/>
    </xf>
    <xf numFmtId="168" fontId="2" fillId="0" borderId="0" xfId="59" applyNumberFormat="1" applyFont="1" applyFill="1" applyBorder="1" applyAlignment="1">
      <alignment vertical="center"/>
      <protection/>
    </xf>
    <xf numFmtId="168" fontId="5" fillId="0" borderId="11" xfId="59" applyNumberFormat="1" applyFont="1" applyFill="1" applyBorder="1" applyAlignment="1">
      <alignment vertical="center"/>
      <protection/>
    </xf>
    <xf numFmtId="168" fontId="3" fillId="0" borderId="0" xfId="59" applyNumberFormat="1" applyFont="1" applyFill="1" applyAlignment="1">
      <alignment vertical="center"/>
      <protection/>
    </xf>
    <xf numFmtId="168" fontId="3" fillId="0" borderId="0" xfId="59" applyNumberFormat="1" applyFont="1" applyFill="1" applyAlignment="1">
      <alignment/>
      <protection/>
    </xf>
    <xf numFmtId="167" fontId="6" fillId="0" borderId="0" xfId="59" applyNumberFormat="1" applyFont="1" applyFill="1" applyBorder="1" applyAlignment="1">
      <alignment vertical="center"/>
      <protection/>
    </xf>
    <xf numFmtId="164" fontId="53" fillId="0" borderId="0" xfId="45" applyFont="1" applyFill="1" applyBorder="1" applyAlignment="1">
      <alignment vertical="center"/>
    </xf>
    <xf numFmtId="168" fontId="3" fillId="0" borderId="12" xfId="59" applyNumberFormat="1" applyFont="1" applyFill="1" applyBorder="1" applyAlignment="1">
      <alignment vertical="center"/>
      <protection/>
    </xf>
    <xf numFmtId="164" fontId="55" fillId="0" borderId="0" xfId="45" applyFont="1" applyFill="1" applyBorder="1" applyAlignment="1">
      <alignment vertical="center"/>
    </xf>
    <xf numFmtId="167" fontId="55" fillId="0" borderId="0" xfId="59" applyNumberFormat="1" applyFont="1" applyFill="1" applyBorder="1" applyAlignment="1">
      <alignment vertical="center"/>
      <protection/>
    </xf>
    <xf numFmtId="170" fontId="58" fillId="0" borderId="0" xfId="45" applyNumberFormat="1" applyFont="1" applyFill="1" applyBorder="1" applyAlignment="1">
      <alignment vertical="center"/>
    </xf>
    <xf numFmtId="178" fontId="57" fillId="0" borderId="0" xfId="59" applyNumberFormat="1" applyFont="1" applyFill="1" applyAlignment="1">
      <alignment vertical="center"/>
      <protection/>
    </xf>
    <xf numFmtId="0" fontId="5" fillId="0" borderId="0" xfId="59" applyFont="1" applyFill="1" applyBorder="1" applyAlignment="1">
      <alignment/>
      <protection/>
    </xf>
    <xf numFmtId="168" fontId="9" fillId="0" borderId="0" xfId="59" applyNumberFormat="1" applyFont="1" applyFill="1" applyAlignment="1">
      <alignment horizontal="right" vertical="center"/>
      <protection/>
    </xf>
    <xf numFmtId="168" fontId="9" fillId="0" borderId="0" xfId="59" applyNumberFormat="1" applyFont="1" applyFill="1" applyBorder="1" applyAlignment="1">
      <alignment vertical="center"/>
      <protection/>
    </xf>
    <xf numFmtId="168" fontId="9" fillId="0" borderId="0" xfId="59" applyNumberFormat="1" applyFont="1" applyFill="1" applyAlignment="1">
      <alignment vertical="center"/>
      <protection/>
    </xf>
    <xf numFmtId="168" fontId="57" fillId="0" borderId="0" xfId="59" applyNumberFormat="1" applyFont="1" applyFill="1" applyAlignment="1">
      <alignment vertical="center"/>
      <protection/>
    </xf>
    <xf numFmtId="168" fontId="7" fillId="0" borderId="0" xfId="59" applyNumberFormat="1" applyFont="1" applyFill="1" applyAlignment="1">
      <alignment vertical="center"/>
      <protection/>
    </xf>
    <xf numFmtId="168" fontId="5" fillId="0" borderId="11" xfId="45" applyNumberFormat="1" applyFont="1" applyFill="1" applyBorder="1" applyAlignment="1">
      <alignment horizontal="right" vertical="center"/>
    </xf>
    <xf numFmtId="179" fontId="5" fillId="0" borderId="0" xfId="61" applyNumberFormat="1" applyFont="1" applyFill="1" applyAlignment="1">
      <alignment vertical="center"/>
      <protection/>
    </xf>
    <xf numFmtId="167" fontId="53" fillId="0" borderId="0" xfId="59" applyNumberFormat="1" applyFont="1" applyFill="1" applyBorder="1" applyAlignment="1">
      <alignment vertical="center"/>
      <protection/>
    </xf>
    <xf numFmtId="168" fontId="2" fillId="0" borderId="0" xfId="59" applyNumberFormat="1" applyFont="1" applyFill="1" applyAlignment="1" quotePrefix="1">
      <alignment horizontal="center" vertical="center"/>
      <protection/>
    </xf>
    <xf numFmtId="168" fontId="58" fillId="0" borderId="11" xfId="42" applyNumberFormat="1" applyFont="1" applyFill="1" applyBorder="1" applyAlignment="1">
      <alignment vertical="center"/>
    </xf>
    <xf numFmtId="164" fontId="55" fillId="0" borderId="0" xfId="42" applyFont="1" applyFill="1" applyBorder="1" applyAlignment="1">
      <alignment vertical="center"/>
    </xf>
    <xf numFmtId="180" fontId="5" fillId="0" borderId="0" xfId="42" applyNumberFormat="1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168" fontId="58" fillId="0" borderId="0" xfId="0" applyNumberFormat="1" applyFont="1" applyFill="1" applyAlignment="1">
      <alignment horizontal="center" vertical="center"/>
    </xf>
    <xf numFmtId="168" fontId="54" fillId="0" borderId="0" xfId="0" applyNumberFormat="1" applyFont="1" applyFill="1" applyAlignment="1">
      <alignment horizontal="center" vertical="center"/>
    </xf>
    <xf numFmtId="0" fontId="54" fillId="0" borderId="0" xfId="60" applyFont="1" applyFill="1" applyAlignment="1">
      <alignment horizontal="center" vertical="center"/>
      <protection/>
    </xf>
    <xf numFmtId="168" fontId="54" fillId="0" borderId="0" xfId="60" applyNumberFormat="1" applyFont="1" applyFill="1" applyAlignment="1">
      <alignment horizontal="center" vertical="center"/>
      <protection/>
    </xf>
    <xf numFmtId="168" fontId="58" fillId="0" borderId="0" xfId="60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60" applyFont="1" applyFill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10" fillId="0" borderId="0" xfId="58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54" fillId="0" borderId="0" xfId="59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center" vertical="center"/>
      <protection/>
    </xf>
    <xf numFmtId="0" fontId="5" fillId="0" borderId="0" xfId="58" applyFont="1" applyFill="1" applyAlignment="1" quotePrefix="1">
      <alignment horizontal="left" vertical="center"/>
      <protection/>
    </xf>
    <xf numFmtId="168" fontId="5" fillId="0" borderId="11" xfId="0" applyNumberFormat="1" applyFont="1" applyFill="1" applyBorder="1" applyAlignment="1">
      <alignment vertical="center"/>
    </xf>
    <xf numFmtId="168" fontId="5" fillId="0" borderId="11" xfId="42" applyNumberFormat="1" applyFont="1" applyFill="1" applyBorder="1" applyAlignment="1">
      <alignment horizontal="right" vertical="center"/>
    </xf>
    <xf numFmtId="168" fontId="3" fillId="0" borderId="14" xfId="0" applyNumberFormat="1" applyFont="1" applyFill="1" applyBorder="1" applyAlignment="1">
      <alignment vertical="center"/>
    </xf>
    <xf numFmtId="168" fontId="58" fillId="0" borderId="0" xfId="42" applyNumberFormat="1" applyFont="1" applyFill="1" applyBorder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62" fillId="0" borderId="0" xfId="0" applyFont="1" applyFill="1" applyAlignment="1">
      <alignment horizontal="center" vertical="center"/>
    </xf>
    <xf numFmtId="168" fontId="58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8" fontId="54" fillId="0" borderId="0" xfId="0" applyNumberFormat="1" applyFont="1" applyFill="1" applyAlignment="1">
      <alignment horizontal="center" vertical="center"/>
    </xf>
    <xf numFmtId="0" fontId="54" fillId="0" borderId="0" xfId="60" applyFont="1" applyFill="1" applyAlignment="1">
      <alignment horizontal="center" vertical="center"/>
      <protection/>
    </xf>
    <xf numFmtId="0" fontId="62" fillId="0" borderId="0" xfId="60" applyFont="1" applyFill="1" applyAlignment="1">
      <alignment horizontal="center" vertical="center"/>
      <protection/>
    </xf>
    <xf numFmtId="0" fontId="54" fillId="0" borderId="0" xfId="60" applyFont="1" applyFill="1" applyAlignment="1">
      <alignment horizontal="right" vertical="center"/>
      <protection/>
    </xf>
    <xf numFmtId="168" fontId="54" fillId="0" borderId="0" xfId="60" applyNumberFormat="1" applyFont="1" applyFill="1" applyAlignment="1">
      <alignment horizontal="center" vertical="center"/>
      <protection/>
    </xf>
    <xf numFmtId="0" fontId="63" fillId="0" borderId="0" xfId="60" applyFont="1" applyFill="1" applyAlignment="1">
      <alignment horizontal="center" vertical="center"/>
      <protection/>
    </xf>
    <xf numFmtId="168" fontId="58" fillId="0" borderId="0" xfId="60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0" xfId="60" applyFont="1" applyFill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 vertical="center"/>
      <protection/>
    </xf>
    <xf numFmtId="0" fontId="10" fillId="0" borderId="0" xfId="58" applyFont="1" applyFill="1" applyAlignment="1">
      <alignment horizontal="center" vertical="center"/>
      <protection/>
    </xf>
    <xf numFmtId="0" fontId="64" fillId="0" borderId="0" xfId="0" applyFont="1" applyFill="1" applyAlignment="1">
      <alignment horizontal="center" vertical="center"/>
    </xf>
    <xf numFmtId="0" fontId="3" fillId="0" borderId="0" xfId="58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vertical="center"/>
      <protection/>
    </xf>
    <xf numFmtId="0" fontId="54" fillId="0" borderId="0" xfId="59" applyFont="1" applyFill="1" applyAlignment="1">
      <alignment horizontal="center" vertical="center"/>
      <protection/>
    </xf>
    <xf numFmtId="0" fontId="10" fillId="0" borderId="0" xfId="59" applyFont="1" applyFill="1" applyAlignment="1">
      <alignment horizontal="center" vertical="center"/>
      <protection/>
    </xf>
    <xf numFmtId="0" fontId="64" fillId="0" borderId="0" xfId="59" applyFont="1" applyFill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YTD-52_PTTEP-Thai" xfId="61"/>
    <cellStyle name="Note" xfId="62"/>
    <cellStyle name="Output" xfId="63"/>
    <cellStyle name="OUTPUT AMOUNTS" xfId="64"/>
    <cellStyle name="OUTPUT REPORT HEADING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riyaporn%20nakuam\Desktop\Q3-56_PTTEP-Thai_Company%20Only_19.10.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RIY~1\AppData\Local\Temp\notesF3B52A\Q2-56_PTTEP-Th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ANGP~1\AppData\Local\Temp\notesF3B52A\~04067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S-Conso"/>
      <sheetName val="FS-The Company"/>
      <sheetName val="Equity_Change_Conso"/>
      <sheetName val="Equity_Change_The Company"/>
      <sheetName val="Cashflow_The Company"/>
      <sheetName val="Cashflow_Conso"/>
    </sheetNames>
    <sheetDataSet>
      <sheetData sheetId="0">
        <row r="10">
          <cell r="C10" t="str">
            <v>30 กันยายน 2556</v>
          </cell>
          <cell r="G10" t="str">
            <v>30 กันยายน 2556</v>
          </cell>
        </row>
        <row r="44">
          <cell r="A44" t="str">
            <v>หมายเหตุประกอบข้อมูลทางการเงินระหว่างกาลเป็นส่วนหนึ่งของข้อมูลทางการเงินนี้     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S-Conso"/>
      <sheetName val="FS-The Company"/>
      <sheetName val="Equity_Change_Conso"/>
      <sheetName val="Equity_Change_The Company"/>
      <sheetName val="Cashflow_Conso"/>
      <sheetName val="Cashflow_The Company"/>
    </sheetNames>
    <sheetDataSet>
      <sheetData sheetId="0">
        <row r="44">
          <cell r="A44" t="str">
            <v>หมายเหตุประกอบข้อมูลทางการเงินระหว่างกาลเป็นส่วนหนึ่งของข้อมูลทางการเงินนี้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S-Conso"/>
      <sheetName val="FS-The Company"/>
      <sheetName val="Equity_Change_Conso"/>
      <sheetName val="Equity_Change_The Company"/>
      <sheetName val="Cashflow_Conso"/>
      <sheetName val="Cashflow_The Company"/>
    </sheetNames>
    <sheetDataSet>
      <sheetData sheetId="0">
        <row r="44">
          <cell r="A44" t="str">
            <v>หมายเหตุประกอบข้อมูลทางการเงินระหว่างกาลเป็นส่วนหนึ่งของข้อมูลทางการเงินนี้       </v>
          </cell>
        </row>
      </sheetData>
      <sheetData sheetId="1">
        <row r="15">
          <cell r="C15">
            <v>1696868670</v>
          </cell>
          <cell r="E15">
            <v>1732902915</v>
          </cell>
          <cell r="I15">
            <v>53081588927</v>
          </cell>
        </row>
        <row r="190">
          <cell r="A190" t="str">
            <v>สำหรับงวดเก้าเดือนสิ้นสุดวันที่ 30 กันยายน 2556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Q256"/>
  <sheetViews>
    <sheetView tabSelected="1" zoomScale="90" zoomScaleNormal="90" zoomScaleSheetLayoutView="85" zoomScalePageLayoutView="90" workbookViewId="0" topLeftCell="A1">
      <selection activeCell="C14" sqref="C14"/>
    </sheetView>
  </sheetViews>
  <sheetFormatPr defaultColWidth="9.140625" defaultRowHeight="21.75"/>
  <cols>
    <col min="1" max="1" width="61.28125" style="73" customWidth="1"/>
    <col min="2" max="2" width="10.140625" style="73" customWidth="1"/>
    <col min="3" max="3" width="19.7109375" style="73" customWidth="1"/>
    <col min="4" max="4" width="1.8515625" style="73" customWidth="1"/>
    <col min="5" max="5" width="19.7109375" style="73" customWidth="1"/>
    <col min="6" max="6" width="1.8515625" style="73" customWidth="1"/>
    <col min="7" max="7" width="19.7109375" style="73" customWidth="1"/>
    <col min="8" max="8" width="1.8515625" style="73" customWidth="1"/>
    <col min="9" max="9" width="19.7109375" style="73" customWidth="1"/>
    <col min="10" max="10" width="2.8515625" style="73" customWidth="1"/>
    <col min="11" max="11" width="2.57421875" style="73" customWidth="1"/>
    <col min="12" max="12" width="29.8515625" style="74" customWidth="1"/>
    <col min="13" max="13" width="39.28125" style="73" customWidth="1"/>
    <col min="14" max="14" width="20.140625" style="73" customWidth="1"/>
    <col min="15" max="15" width="26.421875" style="73" customWidth="1"/>
    <col min="16" max="16" width="19.28125" style="73" customWidth="1"/>
    <col min="17" max="17" width="19.8515625" style="73" customWidth="1"/>
    <col min="18" max="16384" width="9.140625" style="73" customWidth="1"/>
  </cols>
  <sheetData>
    <row r="1" spans="1:12" s="51" customFormat="1" ht="24" customHeight="1">
      <c r="A1" s="332">
        <v>3</v>
      </c>
      <c r="B1" s="332"/>
      <c r="C1" s="332"/>
      <c r="D1" s="332"/>
      <c r="E1" s="332"/>
      <c r="F1" s="332"/>
      <c r="G1" s="332"/>
      <c r="H1" s="332"/>
      <c r="I1" s="332"/>
      <c r="L1" s="68"/>
    </row>
    <row r="2" spans="1:12" s="51" customFormat="1" ht="24" customHeight="1">
      <c r="A2" s="131"/>
      <c r="B2" s="131"/>
      <c r="C2" s="334"/>
      <c r="D2" s="334"/>
      <c r="E2" s="334"/>
      <c r="F2" s="131"/>
      <c r="G2" s="334"/>
      <c r="H2" s="334"/>
      <c r="I2" s="334"/>
      <c r="L2" s="68"/>
    </row>
    <row r="3" spans="1:12" s="51" customFormat="1" ht="24" customHeight="1">
      <c r="A3" s="330" t="s">
        <v>4</v>
      </c>
      <c r="B3" s="330"/>
      <c r="C3" s="330"/>
      <c r="D3" s="330"/>
      <c r="E3" s="330"/>
      <c r="F3" s="330"/>
      <c r="G3" s="330"/>
      <c r="H3" s="330"/>
      <c r="I3" s="330"/>
      <c r="L3" s="68"/>
    </row>
    <row r="4" spans="1:12" s="51" customFormat="1" ht="24" customHeight="1">
      <c r="A4" s="330" t="s">
        <v>125</v>
      </c>
      <c r="B4" s="330"/>
      <c r="C4" s="330"/>
      <c r="D4" s="330"/>
      <c r="E4" s="330"/>
      <c r="F4" s="330"/>
      <c r="G4" s="330"/>
      <c r="H4" s="330"/>
      <c r="I4" s="330"/>
      <c r="L4" s="68"/>
    </row>
    <row r="5" spans="1:12" s="51" customFormat="1" ht="24" customHeight="1">
      <c r="A5" s="335" t="s">
        <v>228</v>
      </c>
      <c r="B5" s="335"/>
      <c r="C5" s="335"/>
      <c r="D5" s="335"/>
      <c r="E5" s="335"/>
      <c r="F5" s="335"/>
      <c r="G5" s="335"/>
      <c r="H5" s="335"/>
      <c r="I5" s="335"/>
      <c r="L5" s="68"/>
    </row>
    <row r="6" spans="1:12" s="51" customFormat="1" ht="24" customHeight="1">
      <c r="A6" s="330" t="s">
        <v>147</v>
      </c>
      <c r="B6" s="330"/>
      <c r="C6" s="330"/>
      <c r="D6" s="330"/>
      <c r="E6" s="330"/>
      <c r="F6" s="330"/>
      <c r="G6" s="330"/>
      <c r="H6" s="330"/>
      <c r="I6" s="330"/>
      <c r="L6" s="68"/>
    </row>
    <row r="7" s="51" customFormat="1" ht="24" customHeight="1">
      <c r="L7" s="68"/>
    </row>
    <row r="8" spans="3:12" s="54" customFormat="1" ht="24" customHeight="1">
      <c r="C8" s="330" t="s">
        <v>128</v>
      </c>
      <c r="D8" s="330"/>
      <c r="E8" s="330"/>
      <c r="G8" s="330" t="s">
        <v>67</v>
      </c>
      <c r="H8" s="330"/>
      <c r="I8" s="330"/>
      <c r="L8" s="69"/>
    </row>
    <row r="9" spans="3:12" s="54" customFormat="1" ht="10.5" customHeight="1">
      <c r="C9" s="307"/>
      <c r="D9" s="307"/>
      <c r="E9" s="307"/>
      <c r="G9" s="307"/>
      <c r="H9" s="307"/>
      <c r="I9" s="307"/>
      <c r="L9" s="69"/>
    </row>
    <row r="10" spans="2:12" s="70" customFormat="1" ht="21" customHeight="1">
      <c r="B10" s="70" t="s">
        <v>5</v>
      </c>
      <c r="C10" s="71" t="s">
        <v>229</v>
      </c>
      <c r="E10" s="71" t="s">
        <v>158</v>
      </c>
      <c r="G10" s="71" t="s">
        <v>229</v>
      </c>
      <c r="I10" s="71" t="s">
        <v>158</v>
      </c>
      <c r="L10" s="72"/>
    </row>
    <row r="11" spans="3:12" s="70" customFormat="1" ht="21" customHeight="1">
      <c r="C11" s="307" t="s">
        <v>113</v>
      </c>
      <c r="D11" s="73"/>
      <c r="E11" s="307" t="s">
        <v>135</v>
      </c>
      <c r="F11" s="307"/>
      <c r="G11" s="307" t="s">
        <v>113</v>
      </c>
      <c r="H11" s="73"/>
      <c r="I11" s="307" t="s">
        <v>135</v>
      </c>
      <c r="L11" s="72"/>
    </row>
    <row r="12" spans="3:12" s="70" customFormat="1" ht="21" customHeight="1">
      <c r="C12" s="307" t="s">
        <v>114</v>
      </c>
      <c r="D12" s="73"/>
      <c r="E12" s="307"/>
      <c r="F12" s="307"/>
      <c r="G12" s="307" t="s">
        <v>114</v>
      </c>
      <c r="H12" s="73"/>
      <c r="I12" s="307"/>
      <c r="L12" s="72"/>
    </row>
    <row r="13" spans="1:7" ht="21.75" customHeight="1">
      <c r="A13" s="70" t="s">
        <v>91</v>
      </c>
      <c r="C13" s="70"/>
      <c r="G13" s="70"/>
    </row>
    <row r="14" ht="26.25" customHeight="1">
      <c r="A14" s="51" t="s">
        <v>6</v>
      </c>
    </row>
    <row r="15" spans="1:10" ht="24">
      <c r="A15" s="75" t="s">
        <v>45</v>
      </c>
      <c r="B15" s="76">
        <v>5</v>
      </c>
      <c r="C15" s="62">
        <f>ROUND(2589768580.06498,0)</f>
        <v>2589768580</v>
      </c>
      <c r="D15" s="77"/>
      <c r="E15" s="62">
        <v>2291918927</v>
      </c>
      <c r="F15" s="77"/>
      <c r="G15" s="62">
        <f>ROUND(81294580702.9478,0)</f>
        <v>81294580703</v>
      </c>
      <c r="H15" s="77"/>
      <c r="I15" s="62">
        <v>70205143796</v>
      </c>
      <c r="J15" s="75"/>
    </row>
    <row r="16" spans="1:12" ht="24">
      <c r="A16" s="75" t="s">
        <v>151</v>
      </c>
      <c r="B16" s="76">
        <v>6</v>
      </c>
      <c r="C16" s="62">
        <f>ROUND(559027859.027393+31612807.54,0)</f>
        <v>590640667</v>
      </c>
      <c r="D16" s="77"/>
      <c r="E16" s="62">
        <f>834170861+36073646</f>
        <v>870244507</v>
      </c>
      <c r="F16" s="78"/>
      <c r="G16" s="62">
        <f>ROUND(17548258729.0355+992347191.476805,0)</f>
        <v>18540605921</v>
      </c>
      <c r="H16" s="77"/>
      <c r="I16" s="62">
        <f>25551988136+1104993503</f>
        <v>26656981639</v>
      </c>
      <c r="J16" s="75"/>
      <c r="L16" s="152"/>
    </row>
    <row r="17" spans="1:10" ht="26.25" customHeight="1">
      <c r="A17" s="75" t="s">
        <v>7</v>
      </c>
      <c r="B17" s="76">
        <v>7</v>
      </c>
      <c r="C17" s="62">
        <f>ROUND(138703106.957902,0)</f>
        <v>138703107</v>
      </c>
      <c r="D17" s="77"/>
      <c r="E17" s="62">
        <v>170371799</v>
      </c>
      <c r="F17" s="78"/>
      <c r="G17" s="62">
        <f>ROUND(4353984774.14183,0)</f>
        <v>4353984774</v>
      </c>
      <c r="H17" s="77"/>
      <c r="I17" s="62">
        <v>5218760804</v>
      </c>
      <c r="J17" s="75"/>
    </row>
    <row r="18" spans="1:10" ht="25.5" customHeight="1">
      <c r="A18" s="75" t="s">
        <v>140</v>
      </c>
      <c r="B18" s="76"/>
      <c r="C18" s="62">
        <f>ROUND(192166412.08151-31612807.54,0)</f>
        <v>160553605</v>
      </c>
      <c r="D18" s="77"/>
      <c r="E18" s="62">
        <f>202872397-36073646-1</f>
        <v>166798750</v>
      </c>
      <c r="F18" s="78"/>
      <c r="G18" s="62">
        <f>ROUND(6032247015.08665-992347191.476805,0)</f>
        <v>5039899824</v>
      </c>
      <c r="H18" s="77"/>
      <c r="I18" s="62">
        <f>6214306110-1104993503</f>
        <v>5109312607</v>
      </c>
      <c r="J18" s="75"/>
    </row>
    <row r="19" spans="1:10" ht="24" customHeight="1">
      <c r="A19" s="75" t="s">
        <v>8</v>
      </c>
      <c r="B19" s="76"/>
      <c r="C19" s="62">
        <f>ROUND(42291456.3044108,0)</f>
        <v>42291456</v>
      </c>
      <c r="D19" s="77"/>
      <c r="E19" s="62">
        <v>19310641</v>
      </c>
      <c r="F19" s="79"/>
      <c r="G19" s="62">
        <f>ROUND(1327557314.76559,0)</f>
        <v>1327557315</v>
      </c>
      <c r="H19" s="77"/>
      <c r="I19" s="62">
        <v>591515830</v>
      </c>
      <c r="J19" s="75"/>
    </row>
    <row r="20" spans="1:10" ht="24" customHeight="1">
      <c r="A20" s="75" t="s">
        <v>9</v>
      </c>
      <c r="B20" s="76"/>
      <c r="C20" s="62">
        <f>ROUND(335824371.385257,0)</f>
        <v>335824371</v>
      </c>
      <c r="D20" s="77"/>
      <c r="E20" s="62">
        <v>304395514</v>
      </c>
      <c r="F20" s="78"/>
      <c r="G20" s="62">
        <f>ROUND(10541752160.1094,0)</f>
        <v>10541752160</v>
      </c>
      <c r="H20" s="77"/>
      <c r="I20" s="62">
        <v>9324121619</v>
      </c>
      <c r="J20" s="75"/>
    </row>
    <row r="21" spans="1:10" ht="24" customHeight="1">
      <c r="A21" s="75" t="s">
        <v>10</v>
      </c>
      <c r="B21" s="76"/>
      <c r="C21" s="77"/>
      <c r="D21" s="77"/>
      <c r="E21" s="77"/>
      <c r="F21" s="79"/>
      <c r="G21" s="308"/>
      <c r="H21" s="77"/>
      <c r="I21" s="308"/>
      <c r="J21" s="75"/>
    </row>
    <row r="22" spans="1:10" ht="27" customHeight="1">
      <c r="A22" s="75" t="s">
        <v>11</v>
      </c>
      <c r="B22" s="76"/>
      <c r="C22" s="62">
        <f>ROUND(60463008.8257946,0)-38317824</f>
        <v>22145185</v>
      </c>
      <c r="D22" s="77"/>
      <c r="E22" s="62">
        <v>41870830</v>
      </c>
      <c r="F22" s="79"/>
      <c r="G22" s="62">
        <f>ROUND(1897974323.24211,0)-1202822165</f>
        <v>695152158</v>
      </c>
      <c r="H22" s="77"/>
      <c r="I22" s="62">
        <v>1282570510</v>
      </c>
      <c r="J22" s="75"/>
    </row>
    <row r="23" spans="1:10" ht="24">
      <c r="A23" s="75" t="s">
        <v>12</v>
      </c>
      <c r="B23" s="76"/>
      <c r="C23" s="62">
        <f>ROUND(26398875.3691225,0)</f>
        <v>26398875</v>
      </c>
      <c r="D23" s="77"/>
      <c r="E23" s="62">
        <v>539935</v>
      </c>
      <c r="F23" s="80"/>
      <c r="G23" s="62">
        <f>ROUND(828679284.374429,0)</f>
        <v>828679284</v>
      </c>
      <c r="H23" s="77"/>
      <c r="I23" s="62">
        <v>16539078</v>
      </c>
      <c r="J23" s="75"/>
    </row>
    <row r="24" spans="1:10" ht="24">
      <c r="A24" s="75" t="s">
        <v>124</v>
      </c>
      <c r="B24" s="76">
        <v>15</v>
      </c>
      <c r="C24" s="62">
        <f>ROUND(6814865.43,0)+1</f>
        <v>6814866</v>
      </c>
      <c r="D24" s="77"/>
      <c r="E24" s="62">
        <v>1391184</v>
      </c>
      <c r="F24" s="80"/>
      <c r="G24" s="62">
        <f>ROUND(213923187.973607,0)</f>
        <v>213923188</v>
      </c>
      <c r="H24" s="77"/>
      <c r="I24" s="62">
        <v>42614209</v>
      </c>
      <c r="J24" s="75"/>
    </row>
    <row r="25" spans="1:10" ht="24">
      <c r="A25" s="75" t="s">
        <v>13</v>
      </c>
      <c r="B25" s="76"/>
      <c r="C25" s="62">
        <f>ROUND(122792554.265572,0)</f>
        <v>122792554</v>
      </c>
      <c r="D25" s="77"/>
      <c r="E25" s="62">
        <v>164403185</v>
      </c>
      <c r="F25" s="79"/>
      <c r="G25" s="81">
        <f>ROUND(3854542788.01082,0)</f>
        <v>3854542788</v>
      </c>
      <c r="H25" s="77"/>
      <c r="I25" s="81">
        <f>4983442227+52490370</f>
        <v>5035932597</v>
      </c>
      <c r="J25" s="75"/>
    </row>
    <row r="26" spans="1:10" ht="23.25" customHeight="1">
      <c r="A26" s="82" t="s">
        <v>14</v>
      </c>
      <c r="B26" s="76"/>
      <c r="C26" s="83">
        <f>SUM(C15:C25)</f>
        <v>4035933266</v>
      </c>
      <c r="D26" s="84"/>
      <c r="E26" s="83">
        <f>SUM(E15:E25)</f>
        <v>4031245272</v>
      </c>
      <c r="F26" s="84"/>
      <c r="G26" s="83">
        <f>SUM(G15:G25)</f>
        <v>126690678115</v>
      </c>
      <c r="H26" s="84"/>
      <c r="I26" s="83">
        <f>SUM(I15:I25)</f>
        <v>123483492689</v>
      </c>
      <c r="J26" s="75"/>
    </row>
    <row r="27" spans="1:10" ht="24">
      <c r="A27" s="82" t="s">
        <v>48</v>
      </c>
      <c r="B27" s="76"/>
      <c r="C27" s="84"/>
      <c r="D27" s="84"/>
      <c r="E27" s="84"/>
      <c r="F27" s="84"/>
      <c r="G27" s="84"/>
      <c r="H27" s="84"/>
      <c r="I27" s="84"/>
      <c r="J27" s="75"/>
    </row>
    <row r="28" spans="1:10" ht="24">
      <c r="A28" s="75" t="s">
        <v>162</v>
      </c>
      <c r="B28" s="76">
        <v>8</v>
      </c>
      <c r="C28" s="62">
        <f>ROUND(1632033.22,0)</f>
        <v>1632033</v>
      </c>
      <c r="D28" s="77"/>
      <c r="E28" s="62">
        <v>1248482</v>
      </c>
      <c r="F28" s="78"/>
      <c r="G28" s="62">
        <f>ROUND(51230615.3199024,0)</f>
        <v>51230615</v>
      </c>
      <c r="H28" s="77"/>
      <c r="I28" s="62">
        <v>38242995</v>
      </c>
      <c r="J28" s="75"/>
    </row>
    <row r="29" spans="1:10" ht="24">
      <c r="A29" s="75" t="s">
        <v>93</v>
      </c>
      <c r="B29" s="76">
        <v>10.3</v>
      </c>
      <c r="C29" s="62">
        <f>ROUND(35855499.6,0)</f>
        <v>35855500</v>
      </c>
      <c r="D29" s="77"/>
      <c r="E29" s="62">
        <v>31197587</v>
      </c>
      <c r="F29" s="78"/>
      <c r="G29" s="62">
        <f>ROUND(1125528135.45702,0)</f>
        <v>1125528135</v>
      </c>
      <c r="H29" s="77"/>
      <c r="I29" s="62">
        <v>955632004</v>
      </c>
      <c r="J29" s="75"/>
    </row>
    <row r="30" spans="1:12" ht="24">
      <c r="A30" s="75" t="s">
        <v>92</v>
      </c>
      <c r="B30" s="76"/>
      <c r="C30" s="62">
        <v>0</v>
      </c>
      <c r="D30" s="77"/>
      <c r="E30" s="62">
        <v>0</v>
      </c>
      <c r="F30" s="78"/>
      <c r="G30" s="62">
        <f>0</f>
        <v>0</v>
      </c>
      <c r="H30" s="77"/>
      <c r="I30" s="62">
        <v>0</v>
      </c>
      <c r="J30" s="75"/>
      <c r="L30" s="154"/>
    </row>
    <row r="31" spans="1:12" ht="25.5" customHeight="1">
      <c r="A31" s="75" t="s">
        <v>73</v>
      </c>
      <c r="B31" s="76">
        <v>9.2</v>
      </c>
      <c r="C31" s="62">
        <f>ROUND(18476839.73,0)</f>
        <v>18476840</v>
      </c>
      <c r="D31" s="77"/>
      <c r="E31" s="62">
        <v>18934694</v>
      </c>
      <c r="F31" s="78"/>
      <c r="G31" s="62">
        <f>ROUND(580000368.212553,0)</f>
        <v>580000368</v>
      </c>
      <c r="H31" s="77"/>
      <c r="I31" s="62">
        <v>579999981</v>
      </c>
      <c r="J31" s="75"/>
      <c r="L31" s="154"/>
    </row>
    <row r="32" spans="1:12" ht="23.25" customHeight="1">
      <c r="A32" s="75" t="s">
        <v>49</v>
      </c>
      <c r="B32" s="76" t="s">
        <v>183</v>
      </c>
      <c r="C32" s="62">
        <f>ROUND(12196404850.2393,0)</f>
        <v>12196404850</v>
      </c>
      <c r="D32" s="77"/>
      <c r="E32" s="62">
        <f>10967360677+10677030+8844363-15911608</f>
        <v>10970970462</v>
      </c>
      <c r="F32" s="78"/>
      <c r="G32" s="62">
        <f>ROUND(382853402871.87,0)</f>
        <v>382853402872</v>
      </c>
      <c r="H32" s="77"/>
      <c r="I32" s="62">
        <f>335947805302+327100440-45912-216481032</f>
        <v>336058378798</v>
      </c>
      <c r="J32" s="75"/>
      <c r="L32" s="154"/>
    </row>
    <row r="33" spans="1:12" ht="23.25" customHeight="1">
      <c r="A33" s="75" t="s">
        <v>136</v>
      </c>
      <c r="B33" s="76">
        <v>13</v>
      </c>
      <c r="C33" s="62">
        <f>ROUND(890456640.019723,0)</f>
        <v>890456640</v>
      </c>
      <c r="D33" s="77"/>
      <c r="E33" s="62">
        <f>901240414</f>
        <v>901240414</v>
      </c>
      <c r="F33" s="78"/>
      <c r="G33" s="62">
        <f>ROUND(27952044317.4848,0)+1</f>
        <v>27952044318</v>
      </c>
      <c r="H33" s="77"/>
      <c r="I33" s="62">
        <v>27606435871</v>
      </c>
      <c r="J33" s="75"/>
      <c r="L33" s="154"/>
    </row>
    <row r="34" spans="1:12" ht="24">
      <c r="A34" s="75" t="s">
        <v>111</v>
      </c>
      <c r="B34" s="76">
        <v>14</v>
      </c>
      <c r="C34" s="62">
        <f>ROUND(4102175913.49913-890456640.019723,0)</f>
        <v>3211719273</v>
      </c>
      <c r="D34" s="75"/>
      <c r="E34" s="62">
        <f>4133449835-901240414+15911608-9447472</f>
        <v>3238673557</v>
      </c>
      <c r="F34" s="75"/>
      <c r="G34" s="62">
        <f>ROUND(100818053083.016,0)</f>
        <v>100818053083</v>
      </c>
      <c r="H34" s="75"/>
      <c r="I34" s="62">
        <f>126614181960-I33+198006821</f>
        <v>99205752910</v>
      </c>
      <c r="J34" s="75"/>
      <c r="L34" s="154"/>
    </row>
    <row r="35" spans="1:12" ht="24">
      <c r="A35" s="75" t="s">
        <v>142</v>
      </c>
      <c r="B35" s="76"/>
      <c r="C35" s="62">
        <f>ROUND(364160272.74928,0)</f>
        <v>364160273</v>
      </c>
      <c r="D35" s="77"/>
      <c r="E35" s="62">
        <v>380983244</v>
      </c>
      <c r="F35" s="85"/>
      <c r="G35" s="62">
        <f>ROUND(11431237095.2809,0)</f>
        <v>11431237095</v>
      </c>
      <c r="H35" s="79"/>
      <c r="I35" s="62">
        <v>11670126329</v>
      </c>
      <c r="J35" s="75"/>
      <c r="L35" s="154"/>
    </row>
    <row r="36" spans="1:12" ht="24">
      <c r="A36" s="75" t="s">
        <v>52</v>
      </c>
      <c r="B36" s="76"/>
      <c r="C36" s="75"/>
      <c r="D36" s="77"/>
      <c r="E36" s="75"/>
      <c r="F36" s="80"/>
      <c r="G36" s="75"/>
      <c r="H36" s="77"/>
      <c r="I36" s="75"/>
      <c r="J36" s="75"/>
      <c r="L36" s="154"/>
    </row>
    <row r="37" spans="1:12" ht="25.5" customHeight="1">
      <c r="A37" s="75" t="s">
        <v>50</v>
      </c>
      <c r="B37" s="76"/>
      <c r="C37" s="62">
        <f>ROUND(32636200.82-9719401,0)</f>
        <v>22916800</v>
      </c>
      <c r="D37" s="77"/>
      <c r="E37" s="62">
        <v>23533636</v>
      </c>
      <c r="F37" s="78"/>
      <c r="G37" s="62">
        <f>ROUND(1024472191.63376-305098503.920695,0)</f>
        <v>719373688</v>
      </c>
      <c r="H37" s="79"/>
      <c r="I37" s="62">
        <v>720872931</v>
      </c>
      <c r="J37" s="75"/>
      <c r="L37" s="154"/>
    </row>
    <row r="38" spans="1:12" ht="25.5" customHeight="1">
      <c r="A38" s="75" t="s">
        <v>88</v>
      </c>
      <c r="B38" s="62"/>
      <c r="C38" s="62">
        <f>ROUND(22291647.65,0)</f>
        <v>22291648</v>
      </c>
      <c r="D38" s="77"/>
      <c r="E38" s="62">
        <v>23611136</v>
      </c>
      <c r="F38" s="78"/>
      <c r="G38" s="62">
        <f>ROUND(699749742.596511,0)</f>
        <v>699749743</v>
      </c>
      <c r="H38" s="79"/>
      <c r="I38" s="62">
        <v>723246874</v>
      </c>
      <c r="J38" s="75"/>
      <c r="L38" s="154"/>
    </row>
    <row r="39" spans="1:12" ht="25.5" customHeight="1">
      <c r="A39" s="75" t="s">
        <v>123</v>
      </c>
      <c r="B39" s="76">
        <v>15</v>
      </c>
      <c r="C39" s="62">
        <f>ROUND(10431417.329044,0)</f>
        <v>10431417</v>
      </c>
      <c r="D39" s="77"/>
      <c r="E39" s="62">
        <f>5485939+2057365</f>
        <v>7543304</v>
      </c>
      <c r="F39" s="78"/>
      <c r="G39" s="62">
        <f>ROUND(327449438.473862,0)</f>
        <v>327449438</v>
      </c>
      <c r="H39" s="79"/>
      <c r="I39" s="62">
        <v>231063480</v>
      </c>
      <c r="J39" s="75"/>
      <c r="L39" s="154"/>
    </row>
    <row r="40" spans="1:12" ht="23.25" customHeight="1">
      <c r="A40" s="75" t="s">
        <v>65</v>
      </c>
      <c r="B40" s="76"/>
      <c r="C40" s="62">
        <f>ROUND(30045289.3879325-22291647.65+54130.55+212620.12+9719401,0)</f>
        <v>17739793</v>
      </c>
      <c r="D40" s="85"/>
      <c r="E40" s="62">
        <f>31447730-23611136</f>
        <v>7836594</v>
      </c>
      <c r="F40" s="85"/>
      <c r="G40" s="62">
        <f>ROUND(943142023.262653-699749742.596511+8373482.1041794+305098503.920695,0)</f>
        <v>556864267</v>
      </c>
      <c r="H40" s="85"/>
      <c r="I40" s="62">
        <f>955470121+1658105+6166059-723246874+1</f>
        <v>240047412</v>
      </c>
      <c r="J40" s="75"/>
      <c r="L40" s="154"/>
    </row>
    <row r="41" spans="1:10" ht="23.25" customHeight="1">
      <c r="A41" s="82" t="s">
        <v>51</v>
      </c>
      <c r="B41" s="76"/>
      <c r="C41" s="83">
        <f>SUM(C28:C40)</f>
        <v>16792085067</v>
      </c>
      <c r="D41" s="86"/>
      <c r="E41" s="83">
        <f>SUM(E28:E40)</f>
        <v>15605773110</v>
      </c>
      <c r="F41" s="86"/>
      <c r="G41" s="83">
        <f>SUM(G28:G40)</f>
        <v>527114933622</v>
      </c>
      <c r="H41" s="86"/>
      <c r="I41" s="83">
        <f>SUM(I28:I40)</f>
        <v>478029799585</v>
      </c>
      <c r="J41" s="75"/>
    </row>
    <row r="42" spans="1:10" ht="23.25" customHeight="1" thickBot="1">
      <c r="A42" s="82" t="s">
        <v>15</v>
      </c>
      <c r="B42" s="76"/>
      <c r="C42" s="87">
        <f>+C41+C26</f>
        <v>20828018333</v>
      </c>
      <c r="D42" s="86"/>
      <c r="E42" s="87">
        <f>+E41+E26</f>
        <v>19637018382</v>
      </c>
      <c r="F42" s="86"/>
      <c r="G42" s="87">
        <f>+G41+G26</f>
        <v>653805611737</v>
      </c>
      <c r="H42" s="86"/>
      <c r="I42" s="87">
        <f>+I41+I26</f>
        <v>601513292274</v>
      </c>
      <c r="J42" s="75"/>
    </row>
    <row r="43" spans="1:9" ht="23.25" customHeight="1">
      <c r="A43" s="82"/>
      <c r="B43" s="75"/>
      <c r="C43" s="88"/>
      <c r="D43" s="75"/>
      <c r="E43" s="75"/>
      <c r="F43" s="75"/>
      <c r="G43" s="88"/>
      <c r="H43" s="75"/>
      <c r="I43" s="75"/>
    </row>
    <row r="44" spans="1:9" ht="25.5" customHeight="1">
      <c r="A44" s="75" t="s">
        <v>208</v>
      </c>
      <c r="B44" s="75"/>
      <c r="C44" s="75"/>
      <c r="D44" s="75"/>
      <c r="E44" s="75"/>
      <c r="F44" s="75"/>
      <c r="G44" s="75"/>
      <c r="H44" s="75"/>
      <c r="I44" s="75"/>
    </row>
    <row r="45" spans="1:9" ht="21.75" customHeight="1">
      <c r="A45" s="75"/>
      <c r="B45" s="75"/>
      <c r="C45" s="75"/>
      <c r="D45" s="75"/>
      <c r="E45" s="75"/>
      <c r="F45" s="75"/>
      <c r="G45" s="75"/>
      <c r="H45" s="75"/>
      <c r="I45" s="75"/>
    </row>
    <row r="46" spans="1:9" ht="21.75" customHeight="1">
      <c r="A46" s="75"/>
      <c r="B46" s="75"/>
      <c r="C46" s="75"/>
      <c r="D46" s="75"/>
      <c r="E46" s="75"/>
      <c r="F46" s="75"/>
      <c r="G46" s="75"/>
      <c r="H46" s="75"/>
      <c r="I46" s="75"/>
    </row>
    <row r="47" spans="1:9" ht="21.75" customHeight="1">
      <c r="A47" s="75"/>
      <c r="B47" s="75"/>
      <c r="C47" s="75"/>
      <c r="D47" s="75"/>
      <c r="E47" s="75"/>
      <c r="F47" s="75"/>
      <c r="G47" s="75"/>
      <c r="H47" s="75"/>
      <c r="I47" s="75"/>
    </row>
    <row r="48" spans="1:9" ht="21.75" customHeight="1">
      <c r="A48" s="75"/>
      <c r="B48" s="75"/>
      <c r="C48" s="75"/>
      <c r="D48" s="75"/>
      <c r="E48" s="75"/>
      <c r="F48" s="75"/>
      <c r="G48" s="75"/>
      <c r="H48" s="75"/>
      <c r="I48" s="75"/>
    </row>
    <row r="49" spans="1:9" ht="21.75" customHeight="1">
      <c r="A49" s="333" t="s">
        <v>160</v>
      </c>
      <c r="B49" s="333"/>
      <c r="C49" s="333"/>
      <c r="D49" s="75"/>
      <c r="E49" s="333" t="s">
        <v>159</v>
      </c>
      <c r="F49" s="333"/>
      <c r="G49" s="333"/>
      <c r="H49" s="75"/>
      <c r="I49" s="75"/>
    </row>
    <row r="50" spans="1:9" ht="21.75" customHeight="1">
      <c r="A50" s="333" t="s">
        <v>161</v>
      </c>
      <c r="B50" s="333"/>
      <c r="C50" s="333"/>
      <c r="D50" s="75"/>
      <c r="E50" s="333" t="s">
        <v>127</v>
      </c>
      <c r="F50" s="333"/>
      <c r="G50" s="333"/>
      <c r="H50" s="75"/>
      <c r="I50" s="75"/>
    </row>
    <row r="51" spans="1:9" ht="21.75" customHeight="1">
      <c r="A51" s="333"/>
      <c r="B51" s="333"/>
      <c r="C51" s="333"/>
      <c r="D51" s="75"/>
      <c r="E51" s="333"/>
      <c r="F51" s="333"/>
      <c r="G51" s="333"/>
      <c r="H51" s="75"/>
      <c r="I51" s="75"/>
    </row>
    <row r="52" spans="1:9" ht="18" customHeight="1">
      <c r="A52" s="75"/>
      <c r="B52" s="75"/>
      <c r="C52" s="75"/>
      <c r="D52" s="75"/>
      <c r="E52" s="75"/>
      <c r="F52" s="75"/>
      <c r="G52" s="75"/>
      <c r="H52" s="75"/>
      <c r="I52" s="89"/>
    </row>
    <row r="53" spans="1:9" ht="18" customHeight="1">
      <c r="A53" s="75"/>
      <c r="B53" s="75"/>
      <c r="C53" s="75"/>
      <c r="D53" s="75"/>
      <c r="E53" s="75"/>
      <c r="F53" s="75"/>
      <c r="G53" s="75"/>
      <c r="H53" s="75"/>
      <c r="I53" s="89"/>
    </row>
    <row r="54" spans="1:12" s="51" customFormat="1" ht="21.75" customHeight="1">
      <c r="A54" s="82"/>
      <c r="B54" s="82"/>
      <c r="C54" s="82"/>
      <c r="D54" s="82"/>
      <c r="E54" s="82"/>
      <c r="F54" s="82"/>
      <c r="G54" s="82"/>
      <c r="H54" s="82"/>
      <c r="I54" s="82"/>
      <c r="L54" s="74"/>
    </row>
    <row r="55" spans="1:12" s="51" customFormat="1" ht="21" customHeight="1">
      <c r="A55" s="332">
        <v>4</v>
      </c>
      <c r="B55" s="332"/>
      <c r="C55" s="332"/>
      <c r="D55" s="332"/>
      <c r="E55" s="332"/>
      <c r="F55" s="332"/>
      <c r="G55" s="332"/>
      <c r="H55" s="332"/>
      <c r="I55" s="332"/>
      <c r="L55" s="74"/>
    </row>
    <row r="56" spans="1:12" s="51" customFormat="1" ht="21" customHeight="1">
      <c r="A56" s="131"/>
      <c r="B56" s="131"/>
      <c r="C56" s="131"/>
      <c r="D56" s="131"/>
      <c r="E56" s="131"/>
      <c r="F56" s="131"/>
      <c r="G56" s="131"/>
      <c r="H56" s="131"/>
      <c r="I56" s="131"/>
      <c r="L56" s="74"/>
    </row>
    <row r="57" spans="1:12" s="51" customFormat="1" ht="21" customHeight="1">
      <c r="A57" s="335" t="s">
        <v>4</v>
      </c>
      <c r="B57" s="335"/>
      <c r="C57" s="335"/>
      <c r="D57" s="335"/>
      <c r="E57" s="335"/>
      <c r="F57" s="335"/>
      <c r="G57" s="335"/>
      <c r="H57" s="335"/>
      <c r="I57" s="335"/>
      <c r="L57" s="74"/>
    </row>
    <row r="58" spans="1:12" s="51" customFormat="1" ht="21" customHeight="1">
      <c r="A58" s="335" t="str">
        <f>+A4</f>
        <v>งบแสดงฐานะการเงิน</v>
      </c>
      <c r="B58" s="335"/>
      <c r="C58" s="335"/>
      <c r="D58" s="335"/>
      <c r="E58" s="335"/>
      <c r="F58" s="335"/>
      <c r="G58" s="335"/>
      <c r="H58" s="335"/>
      <c r="I58" s="335"/>
      <c r="L58" s="74"/>
    </row>
    <row r="59" spans="1:12" s="51" customFormat="1" ht="21" customHeight="1">
      <c r="A59" s="335" t="str">
        <f>A5</f>
        <v>ณ วันที่ 30 กันยายน 2556</v>
      </c>
      <c r="B59" s="335"/>
      <c r="C59" s="335"/>
      <c r="D59" s="335"/>
      <c r="E59" s="335"/>
      <c r="F59" s="335"/>
      <c r="G59" s="335"/>
      <c r="H59" s="335"/>
      <c r="I59" s="335"/>
      <c r="L59" s="74"/>
    </row>
    <row r="60" spans="1:12" s="51" customFormat="1" ht="21" customHeight="1">
      <c r="A60" s="330" t="s">
        <v>147</v>
      </c>
      <c r="B60" s="330"/>
      <c r="C60" s="330"/>
      <c r="D60" s="330"/>
      <c r="E60" s="330"/>
      <c r="F60" s="330"/>
      <c r="G60" s="330"/>
      <c r="H60" s="330"/>
      <c r="I60" s="330"/>
      <c r="L60" s="74"/>
    </row>
    <row r="61" s="51" customFormat="1" ht="21" customHeight="1">
      <c r="L61" s="74"/>
    </row>
    <row r="62" spans="3:12" s="54" customFormat="1" ht="21" customHeight="1">
      <c r="C62" s="330" t="s">
        <v>128</v>
      </c>
      <c r="D62" s="330"/>
      <c r="E62" s="330"/>
      <c r="G62" s="330" t="s">
        <v>67</v>
      </c>
      <c r="H62" s="330"/>
      <c r="I62" s="330"/>
      <c r="L62" s="74"/>
    </row>
    <row r="63" spans="3:12" s="54" customFormat="1" ht="10.5" customHeight="1">
      <c r="C63" s="307"/>
      <c r="D63" s="307"/>
      <c r="E63" s="307"/>
      <c r="G63" s="307"/>
      <c r="H63" s="307"/>
      <c r="I63" s="307"/>
      <c r="L63" s="74"/>
    </row>
    <row r="64" spans="2:12" s="70" customFormat="1" ht="21" customHeight="1">
      <c r="B64" s="70" t="s">
        <v>5</v>
      </c>
      <c r="C64" s="71" t="str">
        <f>+C10</f>
        <v>30 กันยายน 2556</v>
      </c>
      <c r="E64" s="71" t="str">
        <f>+E10</f>
        <v>31 ธันวาคม 2555</v>
      </c>
      <c r="G64" s="71" t="str">
        <f>+G10</f>
        <v>30 กันยายน 2556</v>
      </c>
      <c r="I64" s="71" t="str">
        <f>+I10</f>
        <v>31 ธันวาคม 2555</v>
      </c>
      <c r="L64" s="74"/>
    </row>
    <row r="65" spans="3:12" s="70" customFormat="1" ht="21" customHeight="1">
      <c r="C65" s="307" t="s">
        <v>113</v>
      </c>
      <c r="D65" s="73"/>
      <c r="E65" s="307" t="s">
        <v>135</v>
      </c>
      <c r="F65" s="307"/>
      <c r="G65" s="307" t="s">
        <v>113</v>
      </c>
      <c r="H65" s="73"/>
      <c r="I65" s="307" t="s">
        <v>135</v>
      </c>
      <c r="L65" s="74"/>
    </row>
    <row r="66" spans="3:12" s="70" customFormat="1" ht="21" customHeight="1">
      <c r="C66" s="307" t="s">
        <v>114</v>
      </c>
      <c r="D66" s="73"/>
      <c r="E66" s="307"/>
      <c r="F66" s="307"/>
      <c r="G66" s="307" t="s">
        <v>114</v>
      </c>
      <c r="H66" s="73"/>
      <c r="I66" s="307"/>
      <c r="L66" s="74"/>
    </row>
    <row r="67" spans="1:10" ht="24" customHeight="1">
      <c r="A67" s="90" t="s">
        <v>16</v>
      </c>
      <c r="B67" s="75"/>
      <c r="C67" s="90"/>
      <c r="D67" s="75"/>
      <c r="E67" s="90"/>
      <c r="F67" s="90"/>
      <c r="G67" s="90"/>
      <c r="H67" s="75"/>
      <c r="I67" s="90"/>
      <c r="J67" s="70"/>
    </row>
    <row r="68" spans="1:9" ht="24" customHeight="1">
      <c r="A68" s="82" t="s">
        <v>17</v>
      </c>
      <c r="B68" s="75"/>
      <c r="C68" s="90"/>
      <c r="D68" s="75"/>
      <c r="E68" s="75"/>
      <c r="F68" s="75"/>
      <c r="G68" s="90"/>
      <c r="H68" s="75"/>
      <c r="I68" s="75"/>
    </row>
    <row r="69" spans="1:10" ht="23.25" customHeight="1" hidden="1">
      <c r="A69" s="75" t="s">
        <v>155</v>
      </c>
      <c r="B69" s="308">
        <v>17</v>
      </c>
      <c r="C69" s="62">
        <v>0</v>
      </c>
      <c r="D69" s="77"/>
      <c r="E69" s="62">
        <v>0</v>
      </c>
      <c r="F69" s="80"/>
      <c r="G69" s="62">
        <v>0</v>
      </c>
      <c r="H69" s="77"/>
      <c r="I69" s="62">
        <v>0</v>
      </c>
      <c r="J69" s="75"/>
    </row>
    <row r="70" spans="1:10" ht="23.25" customHeight="1">
      <c r="A70" s="75" t="s">
        <v>53</v>
      </c>
      <c r="B70" s="308"/>
      <c r="C70" s="62">
        <f>ROUND(151729534.553778,0)</f>
        <v>151729535</v>
      </c>
      <c r="D70" s="77"/>
      <c r="E70" s="62">
        <v>114197781</v>
      </c>
      <c r="F70" s="80"/>
      <c r="G70" s="62">
        <f>ROUND(4762893993.9345,0)</f>
        <v>4762893994</v>
      </c>
      <c r="H70" s="77"/>
      <c r="I70" s="62">
        <v>3498060754</v>
      </c>
      <c r="J70" s="75"/>
    </row>
    <row r="71" spans="1:10" ht="23.25" customHeight="1">
      <c r="A71" s="75" t="s">
        <v>137</v>
      </c>
      <c r="B71" s="308">
        <v>16</v>
      </c>
      <c r="C71" s="62">
        <f>ROUND(372661442.67,0)</f>
        <v>372661443</v>
      </c>
      <c r="D71" s="77"/>
      <c r="E71" s="62">
        <v>163547251</v>
      </c>
      <c r="F71" s="80"/>
      <c r="G71" s="62">
        <f>ROUND(11698092158.9247,0)</f>
        <v>11698092159</v>
      </c>
      <c r="H71" s="77"/>
      <c r="I71" s="62">
        <v>5009713971</v>
      </c>
      <c r="J71" s="75"/>
    </row>
    <row r="72" spans="1:10" ht="23.25" customHeight="1">
      <c r="A72" s="75" t="s">
        <v>18</v>
      </c>
      <c r="B72" s="75"/>
      <c r="C72" s="62">
        <f>ROUND(20038315.7199988,0)</f>
        <v>20038316</v>
      </c>
      <c r="D72" s="77"/>
      <c r="E72" s="62">
        <v>13718659</v>
      </c>
      <c r="F72" s="79"/>
      <c r="G72" s="62">
        <f>ROUND(629016144.849068,0)</f>
        <v>629016145</v>
      </c>
      <c r="H72" s="77"/>
      <c r="I72" s="62">
        <v>420224463</v>
      </c>
      <c r="J72" s="75"/>
    </row>
    <row r="73" spans="1:10" ht="23.25" customHeight="1">
      <c r="A73" s="75" t="s">
        <v>19</v>
      </c>
      <c r="B73" s="308"/>
      <c r="C73" s="62">
        <f>ROUND(773817191.472242,0)</f>
        <v>773817191</v>
      </c>
      <c r="D73" s="77"/>
      <c r="E73" s="62">
        <v>946553193</v>
      </c>
      <c r="F73" s="79"/>
      <c r="G73" s="62">
        <f>ROUND(24290635489.6163,0)-1</f>
        <v>24290635489</v>
      </c>
      <c r="H73" s="77"/>
      <c r="I73" s="62">
        <v>28994438779</v>
      </c>
      <c r="J73" s="75"/>
    </row>
    <row r="74" spans="1:10" ht="23.25" customHeight="1" hidden="1">
      <c r="A74" s="75" t="s">
        <v>112</v>
      </c>
      <c r="B74" s="308"/>
      <c r="C74" s="62"/>
      <c r="D74" s="77"/>
      <c r="E74" s="62">
        <v>0</v>
      </c>
      <c r="F74" s="79"/>
      <c r="G74" s="62"/>
      <c r="H74" s="77"/>
      <c r="I74" s="62">
        <v>0</v>
      </c>
      <c r="J74" s="75"/>
    </row>
    <row r="75" spans="1:10" ht="23.25" customHeight="1">
      <c r="A75" s="75" t="s">
        <v>20</v>
      </c>
      <c r="B75" s="308"/>
      <c r="C75" s="62">
        <f>ROUND(50578532.826103,0)</f>
        <v>50578533</v>
      </c>
      <c r="D75" s="77"/>
      <c r="E75" s="62">
        <f>35632786-1</f>
        <v>35632785</v>
      </c>
      <c r="F75" s="79"/>
      <c r="G75" s="62">
        <f>ROUND(1587694996.69423,0)</f>
        <v>1587694997</v>
      </c>
      <c r="H75" s="77"/>
      <c r="I75" s="62">
        <v>1091489235</v>
      </c>
      <c r="J75" s="75"/>
    </row>
    <row r="76" spans="1:10" ht="23.25" customHeight="1">
      <c r="A76" s="75" t="s">
        <v>21</v>
      </c>
      <c r="B76" s="308"/>
      <c r="C76" s="62">
        <f>ROUND(704600321.151688,0)</f>
        <v>704600321</v>
      </c>
      <c r="D76" s="77"/>
      <c r="E76" s="62">
        <v>921173425</v>
      </c>
      <c r="F76" s="79"/>
      <c r="G76" s="62">
        <f>ROUND(22117875766.7701,0)</f>
        <v>22117875767</v>
      </c>
      <c r="H76" s="79"/>
      <c r="I76" s="62">
        <v>28217015882</v>
      </c>
      <c r="J76" s="75"/>
    </row>
    <row r="77" spans="1:10" ht="23.25" customHeight="1">
      <c r="A77" s="75" t="s">
        <v>122</v>
      </c>
      <c r="B77" s="308">
        <v>15</v>
      </c>
      <c r="C77" s="62">
        <f>ROUND(19381671.84,0)</f>
        <v>19381672</v>
      </c>
      <c r="D77" s="77"/>
      <c r="E77" s="62">
        <v>2445751</v>
      </c>
      <c r="F77" s="79"/>
      <c r="G77" s="62">
        <f>ROUND(608403653.873922,0)</f>
        <v>608403654</v>
      </c>
      <c r="H77" s="79"/>
      <c r="I77" s="62">
        <v>74917266</v>
      </c>
      <c r="J77" s="75"/>
    </row>
    <row r="78" spans="1:10" ht="23.25" customHeight="1">
      <c r="A78" s="75" t="s">
        <v>109</v>
      </c>
      <c r="B78" s="308"/>
      <c r="C78" s="62">
        <f>ROUND(41756505.38,0)+8357153</f>
        <v>50113658</v>
      </c>
      <c r="D78" s="77"/>
      <c r="E78" s="62">
        <f>22270844+10728120</f>
        <v>32998964</v>
      </c>
      <c r="F78" s="79"/>
      <c r="G78" s="62">
        <f>ROUND(1310764657.24528,0)+262336627+6</f>
        <v>1573101290</v>
      </c>
      <c r="H78" s="77"/>
      <c r="I78" s="62">
        <f>682191572+328619478</f>
        <v>1010811050</v>
      </c>
      <c r="J78" s="75"/>
    </row>
    <row r="79" spans="1:10" ht="23.25" customHeight="1">
      <c r="A79" s="75" t="s">
        <v>22</v>
      </c>
      <c r="B79" s="308"/>
      <c r="C79" s="62">
        <f>ROUND(172378432.498681-41756505.38+9838103.426562,0)-1-38317824</f>
        <v>102142206</v>
      </c>
      <c r="D79" s="77"/>
      <c r="E79" s="62">
        <f>166979300-22270844</f>
        <v>144708456</v>
      </c>
      <c r="F79" s="79"/>
      <c r="G79" s="62">
        <f>ROUND(5411075676.92867-1310764657.24528+308824652.599622,0)-1202822165</f>
        <v>3206313507</v>
      </c>
      <c r="H79" s="77"/>
      <c r="I79" s="62">
        <f>4829440158+285402958-682191572</f>
        <v>4432651544</v>
      </c>
      <c r="J79" s="75"/>
    </row>
    <row r="80" spans="1:12" s="51" customFormat="1" ht="23.25" customHeight="1">
      <c r="A80" s="82" t="s">
        <v>23</v>
      </c>
      <c r="B80" s="309"/>
      <c r="C80" s="83">
        <f>SUM(C69:C79)</f>
        <v>2245062875</v>
      </c>
      <c r="D80" s="84"/>
      <c r="E80" s="83">
        <f>SUM(E69:E79)</f>
        <v>2374976265</v>
      </c>
      <c r="F80" s="84"/>
      <c r="G80" s="83">
        <f>SUM(G69:G79)</f>
        <v>70474027002</v>
      </c>
      <c r="H80" s="84"/>
      <c r="I80" s="83">
        <f>SUM(I69:I79)</f>
        <v>72749322944</v>
      </c>
      <c r="J80" s="75"/>
      <c r="L80" s="74"/>
    </row>
    <row r="81" spans="1:12" s="51" customFormat="1" ht="23.25" customHeight="1">
      <c r="A81" s="82" t="s">
        <v>54</v>
      </c>
      <c r="B81" s="82"/>
      <c r="C81" s="82"/>
      <c r="D81" s="82"/>
      <c r="E81" s="82"/>
      <c r="F81" s="82"/>
      <c r="G81" s="82"/>
      <c r="H81" s="82"/>
      <c r="I81" s="82"/>
      <c r="J81" s="75"/>
      <c r="L81" s="74"/>
    </row>
    <row r="82" spans="1:10" ht="23.25" customHeight="1">
      <c r="A82" s="75" t="s">
        <v>24</v>
      </c>
      <c r="B82" s="76">
        <v>16</v>
      </c>
      <c r="C82" s="62">
        <f>ROUND(2627595789.17,0)</f>
        <v>2627595789</v>
      </c>
      <c r="D82" s="77"/>
      <c r="E82" s="62">
        <v>2517710265</v>
      </c>
      <c r="F82" s="78"/>
      <c r="G82" s="62">
        <f>ROUND(82481990832.9828,0)</f>
        <v>82481990833</v>
      </c>
      <c r="H82" s="77"/>
      <c r="I82" s="62">
        <v>77121493760</v>
      </c>
      <c r="J82" s="75"/>
    </row>
    <row r="83" spans="1:10" ht="23.25" customHeight="1">
      <c r="A83" s="75" t="s">
        <v>157</v>
      </c>
      <c r="B83" s="76">
        <v>16</v>
      </c>
      <c r="C83" s="62">
        <f>ROUND(1071851696.69,0)</f>
        <v>1071851697</v>
      </c>
      <c r="D83" s="77"/>
      <c r="E83" s="62">
        <v>1091704615</v>
      </c>
      <c r="F83" s="78"/>
      <c r="G83" s="62">
        <f>ROUND(33646142296.7297,0)</f>
        <v>33646142297</v>
      </c>
      <c r="H83" s="77"/>
      <c r="I83" s="62">
        <v>33440659090</v>
      </c>
      <c r="J83" s="75"/>
    </row>
    <row r="84" spans="1:12" s="51" customFormat="1" ht="23.25" customHeight="1" hidden="1">
      <c r="A84" s="75" t="s">
        <v>97</v>
      </c>
      <c r="B84" s="76">
        <v>15</v>
      </c>
      <c r="C84" s="62"/>
      <c r="D84" s="82"/>
      <c r="F84" s="82"/>
      <c r="G84" s="75"/>
      <c r="H84" s="82"/>
      <c r="I84" s="75"/>
      <c r="J84" s="75"/>
      <c r="L84" s="74"/>
    </row>
    <row r="85" spans="1:10" ht="23.25" customHeight="1">
      <c r="A85" s="75" t="s">
        <v>143</v>
      </c>
      <c r="B85" s="76"/>
      <c r="C85" s="62">
        <f>ROUND(1529612677.67392,0)</f>
        <v>1529612678</v>
      </c>
      <c r="D85" s="77"/>
      <c r="E85" s="62">
        <v>1512784332</v>
      </c>
      <c r="F85" s="80"/>
      <c r="G85" s="62">
        <f>ROUND(48015588302.3223,0)</f>
        <v>48015588302</v>
      </c>
      <c r="H85" s="77"/>
      <c r="I85" s="62">
        <v>46339004547</v>
      </c>
      <c r="J85" s="75"/>
    </row>
    <row r="86" spans="1:10" ht="23.25" customHeight="1">
      <c r="A86" s="75" t="s">
        <v>138</v>
      </c>
      <c r="B86" s="76">
        <v>17</v>
      </c>
      <c r="C86" s="62">
        <f>ROUND(85098211.5173989,0)-1</f>
        <v>85098211</v>
      </c>
      <c r="D86" s="77"/>
      <c r="E86" s="62">
        <v>78836392</v>
      </c>
      <c r="F86" s="80"/>
      <c r="G86" s="62">
        <f>ROUND(2671301583.30249,0)</f>
        <v>2671301583</v>
      </c>
      <c r="H86" s="77"/>
      <c r="I86" s="77">
        <f>635899505+46292067+2414884828-682191572</f>
        <v>2414884828</v>
      </c>
      <c r="J86" s="75"/>
    </row>
    <row r="87" spans="1:10" ht="23.25" customHeight="1">
      <c r="A87" s="75" t="s">
        <v>139</v>
      </c>
      <c r="B87" s="76"/>
      <c r="C87" s="62">
        <f>ROUND(1122601340.88441,0)</f>
        <v>1122601341</v>
      </c>
      <c r="D87" s="77"/>
      <c r="E87" s="77">
        <v>1070743950</v>
      </c>
      <c r="F87" s="80"/>
      <c r="G87" s="62">
        <f>ROUND(35239208110.3784,0)</f>
        <v>35239208110</v>
      </c>
      <c r="H87" s="77"/>
      <c r="I87" s="62">
        <v>32798600387</v>
      </c>
      <c r="J87" s="75"/>
    </row>
    <row r="88" spans="1:10" ht="23.25" customHeight="1">
      <c r="A88" s="75" t="s">
        <v>163</v>
      </c>
      <c r="B88" s="76"/>
      <c r="C88" s="62">
        <f>ROUND(548181864.54,0)-8357153</f>
        <v>539824712</v>
      </c>
      <c r="D88" s="77"/>
      <c r="E88" s="62">
        <f>178178301-10728120</f>
        <v>167450181</v>
      </c>
      <c r="F88" s="79"/>
      <c r="G88" s="62">
        <f>ROUND(17207795701.3617,0)-262336627-6</f>
        <v>16945459068</v>
      </c>
      <c r="H88" s="79"/>
      <c r="I88" s="62">
        <f>5457886432-328619478+1</f>
        <v>5129266955</v>
      </c>
      <c r="J88" s="75"/>
    </row>
    <row r="89" spans="1:10" ht="23.25" customHeight="1">
      <c r="A89" s="75" t="s">
        <v>55</v>
      </c>
      <c r="B89" s="76"/>
      <c r="C89" s="77"/>
      <c r="D89" s="77"/>
      <c r="F89" s="79"/>
      <c r="G89" s="62"/>
      <c r="H89" s="79"/>
      <c r="I89" s="62"/>
      <c r="J89" s="75"/>
    </row>
    <row r="90" spans="1:10" ht="23.25" customHeight="1">
      <c r="A90" s="75" t="s">
        <v>126</v>
      </c>
      <c r="B90" s="76">
        <v>15</v>
      </c>
      <c r="C90" s="77">
        <f>ROUND(30383906.2898447,0)</f>
        <v>30383906</v>
      </c>
      <c r="D90" s="77"/>
      <c r="E90" s="77">
        <f>42950698-197893+2057365</f>
        <v>44810170</v>
      </c>
      <c r="F90" s="79"/>
      <c r="G90" s="62">
        <f>ROUND(953771347.628742,0)</f>
        <v>953771348</v>
      </c>
      <c r="H90" s="79"/>
      <c r="I90" s="62">
        <v>1372607197</v>
      </c>
      <c r="J90" s="75"/>
    </row>
    <row r="91" spans="1:10" ht="23.25" customHeight="1">
      <c r="A91" s="75" t="s">
        <v>56</v>
      </c>
      <c r="B91" s="76"/>
      <c r="C91" s="62">
        <f>ROUND(30990004.52,0)-1</f>
        <v>30990004</v>
      </c>
      <c r="D91" s="77"/>
      <c r="E91" s="62">
        <v>35635619</v>
      </c>
      <c r="F91" s="79"/>
      <c r="G91" s="62">
        <f>ROUND(972796987.751361,0)</f>
        <v>972796988</v>
      </c>
      <c r="H91" s="79"/>
      <c r="I91" s="62">
        <v>1091576029</v>
      </c>
      <c r="J91" s="75"/>
    </row>
    <row r="92" spans="1:10" ht="23.25" customHeight="1">
      <c r="A92" s="75" t="s">
        <v>57</v>
      </c>
      <c r="B92" s="76"/>
      <c r="C92" s="81">
        <f>ROUND(654619420.837399-85098211.5173989-548181864.54,0)</f>
        <v>21339345</v>
      </c>
      <c r="D92" s="77"/>
      <c r="E92" s="81">
        <f>288081310-78836392-178178301+1</f>
        <v>31066618</v>
      </c>
      <c r="F92" s="79"/>
      <c r="G92" s="81">
        <f>ROUND(20548953602.6643-2671301583.30249-17207795701.3617,0)+1</f>
        <v>669856319</v>
      </c>
      <c r="H92" s="79"/>
      <c r="I92" s="81">
        <f>8824391467-635899505-46292067-5457886432-2414884828+682191572</f>
        <v>951620207</v>
      </c>
      <c r="J92" s="75"/>
    </row>
    <row r="93" spans="1:12" s="51" customFormat="1" ht="23.25" customHeight="1">
      <c r="A93" s="82" t="s">
        <v>58</v>
      </c>
      <c r="B93" s="76"/>
      <c r="C93" s="91">
        <f>SUM(C82:C92)</f>
        <v>7059297683</v>
      </c>
      <c r="D93" s="77"/>
      <c r="E93" s="91">
        <f>SUM(E82:E92)</f>
        <v>6550742142</v>
      </c>
      <c r="F93" s="79"/>
      <c r="G93" s="92">
        <f>SUM(G82:G92)</f>
        <v>221596114848</v>
      </c>
      <c r="H93" s="79"/>
      <c r="I93" s="92">
        <f>SUM(I82:I92)</f>
        <v>200659713000</v>
      </c>
      <c r="J93" s="75"/>
      <c r="L93" s="74"/>
    </row>
    <row r="94" spans="1:10" ht="23.25" customHeight="1">
      <c r="A94" s="82" t="s">
        <v>25</v>
      </c>
      <c r="B94" s="76"/>
      <c r="C94" s="91">
        <f>+C93+C80</f>
        <v>9304360558</v>
      </c>
      <c r="D94" s="77"/>
      <c r="E94" s="91">
        <f>+E93+E80</f>
        <v>8925718407</v>
      </c>
      <c r="F94" s="79"/>
      <c r="G94" s="91">
        <f>+G93+G80</f>
        <v>292070141850</v>
      </c>
      <c r="H94" s="79"/>
      <c r="I94" s="91">
        <f>+I93+I80</f>
        <v>273409035944</v>
      </c>
      <c r="J94" s="75"/>
    </row>
    <row r="95" spans="1:10" ht="23.25" customHeight="1">
      <c r="A95" s="82" t="s">
        <v>2</v>
      </c>
      <c r="B95" s="76"/>
      <c r="C95" s="77"/>
      <c r="D95" s="77"/>
      <c r="E95" s="77"/>
      <c r="F95" s="78"/>
      <c r="G95" s="77"/>
      <c r="H95" s="79"/>
      <c r="I95" s="77"/>
      <c r="J95" s="75"/>
    </row>
    <row r="96" spans="1:10" ht="23.25" customHeight="1">
      <c r="A96" s="75" t="s">
        <v>26</v>
      </c>
      <c r="B96" s="76">
        <v>18</v>
      </c>
      <c r="C96" s="77"/>
      <c r="D96" s="77"/>
      <c r="E96" s="77"/>
      <c r="F96" s="79"/>
      <c r="G96" s="77"/>
      <c r="H96" s="77"/>
      <c r="I96" s="77"/>
      <c r="J96" s="75"/>
    </row>
    <row r="97" spans="1:10" ht="23.25" customHeight="1">
      <c r="A97" s="75" t="s">
        <v>47</v>
      </c>
      <c r="B97" s="76"/>
      <c r="C97" s="77"/>
      <c r="D97" s="77"/>
      <c r="E97" s="77"/>
      <c r="F97" s="79"/>
      <c r="G97" s="85"/>
      <c r="H97" s="77"/>
      <c r="I97" s="85"/>
      <c r="J97" s="75"/>
    </row>
    <row r="98" spans="1:10" ht="23.25" customHeight="1">
      <c r="A98" s="75" t="s">
        <v>164</v>
      </c>
      <c r="B98" s="76"/>
      <c r="C98" s="77"/>
      <c r="D98" s="77"/>
      <c r="E98" s="77"/>
      <c r="F98" s="79"/>
      <c r="G98" s="81">
        <v>3969985400</v>
      </c>
      <c r="H98" s="77"/>
      <c r="I98" s="81">
        <v>3969985400</v>
      </c>
      <c r="J98" s="75"/>
    </row>
    <row r="99" spans="1:10" ht="23.25" customHeight="1">
      <c r="A99" s="75" t="s">
        <v>68</v>
      </c>
      <c r="B99" s="76"/>
      <c r="C99" s="62"/>
      <c r="D99" s="77"/>
      <c r="E99" s="62"/>
      <c r="F99" s="79"/>
      <c r="G99" s="75"/>
      <c r="H99" s="77"/>
      <c r="I99" s="75"/>
      <c r="J99" s="75"/>
    </row>
    <row r="100" spans="1:10" ht="23.25" customHeight="1">
      <c r="A100" s="75" t="s">
        <v>164</v>
      </c>
      <c r="B100" s="76"/>
      <c r="C100" s="75">
        <f>ROUND(150683762.18,0)</f>
        <v>150683762</v>
      </c>
      <c r="D100" s="77"/>
      <c r="E100" s="75">
        <v>150683762</v>
      </c>
      <c r="F100" s="79"/>
      <c r="G100" s="75">
        <f>ROUND(3969985400.01,0)</f>
        <v>3969985400</v>
      </c>
      <c r="H100" s="308"/>
      <c r="I100" s="75">
        <v>3969985400</v>
      </c>
      <c r="J100" s="75"/>
    </row>
    <row r="101" spans="1:10" ht="23.25" customHeight="1">
      <c r="A101" s="75" t="s">
        <v>27</v>
      </c>
      <c r="B101" s="76"/>
      <c r="C101" s="75">
        <f>ROUND(3439036611.86,0)</f>
        <v>3439036612</v>
      </c>
      <c r="D101" s="77"/>
      <c r="E101" s="75">
        <v>3438921013</v>
      </c>
      <c r="F101" s="79"/>
      <c r="G101" s="75">
        <f>ROUND(105417619764.482,0)</f>
        <v>105417619764</v>
      </c>
      <c r="H101" s="62"/>
      <c r="I101" s="75">
        <v>105412493326</v>
      </c>
      <c r="J101" s="75"/>
    </row>
    <row r="102" spans="1:10" ht="23.25" customHeight="1">
      <c r="A102" s="75" t="s">
        <v>165</v>
      </c>
      <c r="B102" s="76"/>
      <c r="C102" s="75">
        <f>ROUND(156570483.07,0)</f>
        <v>156570483</v>
      </c>
      <c r="D102" s="77"/>
      <c r="E102" s="62">
        <v>156570483</v>
      </c>
      <c r="F102" s="79"/>
      <c r="G102" s="75">
        <f>ROUND(4981947515.29,0)</f>
        <v>4981947515</v>
      </c>
      <c r="H102" s="77"/>
      <c r="I102" s="62">
        <v>4981947515</v>
      </c>
      <c r="J102" s="75"/>
    </row>
    <row r="103" spans="1:10" ht="23.25" customHeight="1">
      <c r="A103" s="75" t="s">
        <v>66</v>
      </c>
      <c r="B103" s="76"/>
      <c r="C103" s="75"/>
      <c r="D103" s="77"/>
      <c r="E103" s="75"/>
      <c r="F103" s="78"/>
      <c r="G103" s="75"/>
      <c r="H103" s="62"/>
      <c r="I103" s="75"/>
      <c r="J103" s="75"/>
    </row>
    <row r="104" spans="1:10" ht="23.25" customHeight="1">
      <c r="A104" s="75" t="s">
        <v>60</v>
      </c>
      <c r="B104" s="76"/>
      <c r="C104" s="75"/>
      <c r="D104" s="77"/>
      <c r="E104" s="75"/>
      <c r="F104" s="78"/>
      <c r="G104" s="75"/>
      <c r="H104" s="62"/>
      <c r="I104" s="75"/>
      <c r="J104" s="75"/>
    </row>
    <row r="105" spans="1:10" ht="23.25" customHeight="1">
      <c r="A105" s="75" t="s">
        <v>59</v>
      </c>
      <c r="B105" s="76"/>
      <c r="C105" s="75">
        <f>ROUND(15048319.1361655,0)</f>
        <v>15048319</v>
      </c>
      <c r="D105" s="77"/>
      <c r="E105" s="75">
        <v>15048319</v>
      </c>
      <c r="F105" s="78"/>
      <c r="G105" s="75">
        <f>ROUND(396998540,0)</f>
        <v>396998540</v>
      </c>
      <c r="H105" s="62"/>
      <c r="I105" s="75">
        <v>396998540</v>
      </c>
      <c r="J105" s="75"/>
    </row>
    <row r="106" spans="1:10" ht="23.25" customHeight="1">
      <c r="A106" s="75" t="s">
        <v>214</v>
      </c>
      <c r="B106" s="76"/>
      <c r="C106" s="75">
        <f>ROUND(431231211.9,0)</f>
        <v>431231212</v>
      </c>
      <c r="D106" s="77"/>
      <c r="E106" s="75">
        <v>431231212</v>
      </c>
      <c r="F106" s="77"/>
      <c r="G106" s="75">
        <v>16900000000</v>
      </c>
      <c r="H106" s="62"/>
      <c r="I106" s="75">
        <v>16900000000</v>
      </c>
      <c r="J106" s="75"/>
    </row>
    <row r="107" spans="1:10" ht="23.25" customHeight="1">
      <c r="A107" s="75" t="s">
        <v>61</v>
      </c>
      <c r="B107" s="76"/>
      <c r="C107" s="75">
        <f>Equity_Change_Conso!N44</f>
        <v>7320742694</v>
      </c>
      <c r="D107" s="77"/>
      <c r="E107" s="75">
        <v>6503763882</v>
      </c>
      <c r="F107" s="77"/>
      <c r="G107" s="75">
        <f>Equity_Change_Conso!N90</f>
        <v>242727599931</v>
      </c>
      <c r="H107" s="62"/>
      <c r="I107" s="75">
        <v>218066589842</v>
      </c>
      <c r="J107" s="75"/>
    </row>
    <row r="108" spans="1:10" ht="23.25" customHeight="1">
      <c r="A108" s="75" t="s">
        <v>116</v>
      </c>
      <c r="B108" s="76"/>
      <c r="C108" s="93">
        <f>Equity_Change_Conso!X44</f>
        <v>10344693</v>
      </c>
      <c r="D108" s="77"/>
      <c r="E108" s="93">
        <v>15081304</v>
      </c>
      <c r="F108" s="77"/>
      <c r="G108" s="93">
        <f>Equity_Change_Conso!X90</f>
        <v>-12658681263</v>
      </c>
      <c r="H108" s="62"/>
      <c r="I108" s="93">
        <v>-21623758293</v>
      </c>
      <c r="J108" s="75"/>
    </row>
    <row r="109" spans="1:10" ht="23.25" customHeight="1">
      <c r="A109" s="82" t="s">
        <v>28</v>
      </c>
      <c r="B109" s="76"/>
      <c r="C109" s="91">
        <f>SUM(C100:C108)</f>
        <v>11523657775</v>
      </c>
      <c r="D109" s="77"/>
      <c r="E109" s="91">
        <f>SUM(E100:E108)</f>
        <v>10711299975</v>
      </c>
      <c r="F109" s="77"/>
      <c r="G109" s="91">
        <f>SUM(G100:G108)</f>
        <v>361735469887</v>
      </c>
      <c r="H109" s="62"/>
      <c r="I109" s="91">
        <f>SUM(I100:I108)</f>
        <v>328104256330</v>
      </c>
      <c r="J109" s="75"/>
    </row>
    <row r="110" spans="1:10" ht="23.25" customHeight="1" thickBot="1">
      <c r="A110" s="82" t="s">
        <v>29</v>
      </c>
      <c r="B110" s="76"/>
      <c r="C110" s="87">
        <f>C109+C94</f>
        <v>20828018333</v>
      </c>
      <c r="D110" s="77"/>
      <c r="E110" s="87">
        <f>E109+E94</f>
        <v>19637018382</v>
      </c>
      <c r="F110" s="77"/>
      <c r="G110" s="87">
        <f>G109+G94</f>
        <v>653805611737</v>
      </c>
      <c r="H110" s="77"/>
      <c r="I110" s="87">
        <f>I109+I94</f>
        <v>601513292274</v>
      </c>
      <c r="J110" s="75"/>
    </row>
    <row r="111" spans="1:10" ht="16.5" customHeight="1">
      <c r="A111" s="51"/>
      <c r="B111" s="131"/>
      <c r="C111" s="132">
        <f>C42-C110</f>
        <v>0</v>
      </c>
      <c r="D111" s="133">
        <f>D42-D110</f>
        <v>0</v>
      </c>
      <c r="E111" s="133">
        <f>E42-E110</f>
        <v>0</v>
      </c>
      <c r="F111" s="134"/>
      <c r="G111" s="305">
        <f>G42-G110</f>
        <v>0</v>
      </c>
      <c r="H111" s="133"/>
      <c r="I111" s="133">
        <f>I42-I110</f>
        <v>0</v>
      </c>
      <c r="J111" s="94"/>
    </row>
    <row r="112" spans="1:9" ht="23.25" customHeight="1">
      <c r="A112" s="75" t="str">
        <f>A44</f>
        <v>หมายเหตุประกอบข้อมูลทางการเงินระหว่างกาลเป็นส่วนหนึ่งของข้อมูลทางการเงินนี้       </v>
      </c>
      <c r="B112" s="131"/>
      <c r="C112" s="131"/>
      <c r="D112" s="131"/>
      <c r="E112" s="131"/>
      <c r="F112" s="131"/>
      <c r="G112" s="95"/>
      <c r="H112" s="131"/>
      <c r="I112" s="96"/>
    </row>
    <row r="113" spans="1:12" s="51" customFormat="1" ht="24.75" customHeight="1">
      <c r="A113" s="332">
        <v>7</v>
      </c>
      <c r="B113" s="332"/>
      <c r="C113" s="332"/>
      <c r="D113" s="332"/>
      <c r="E113" s="332"/>
      <c r="F113" s="332"/>
      <c r="G113" s="332"/>
      <c r="H113" s="332"/>
      <c r="I113" s="332"/>
      <c r="L113" s="74"/>
    </row>
    <row r="114" spans="1:12" s="51" customFormat="1" ht="24.75" customHeight="1">
      <c r="A114" s="131"/>
      <c r="B114" s="131"/>
      <c r="C114" s="131"/>
      <c r="D114" s="131"/>
      <c r="E114" s="131"/>
      <c r="F114" s="131"/>
      <c r="G114" s="131"/>
      <c r="H114" s="131"/>
      <c r="I114" s="97" t="s">
        <v>113</v>
      </c>
      <c r="L114" s="74"/>
    </row>
    <row r="115" spans="1:12" s="51" customFormat="1" ht="24.75" customHeight="1">
      <c r="A115" s="131"/>
      <c r="B115" s="131"/>
      <c r="C115" s="131"/>
      <c r="D115" s="131"/>
      <c r="E115" s="131"/>
      <c r="F115" s="131"/>
      <c r="G115" s="131"/>
      <c r="H115" s="131"/>
      <c r="I115" s="97" t="s">
        <v>114</v>
      </c>
      <c r="L115" s="74"/>
    </row>
    <row r="116" spans="1:12" s="51" customFormat="1" ht="21.75" customHeight="1">
      <c r="A116" s="330" t="s">
        <v>4</v>
      </c>
      <c r="B116" s="330"/>
      <c r="C116" s="330"/>
      <c r="D116" s="330"/>
      <c r="E116" s="330"/>
      <c r="F116" s="330"/>
      <c r="G116" s="330"/>
      <c r="H116" s="330"/>
      <c r="I116" s="330"/>
      <c r="L116" s="74"/>
    </row>
    <row r="117" spans="1:12" s="51" customFormat="1" ht="24.75" customHeight="1">
      <c r="A117" s="330" t="s">
        <v>130</v>
      </c>
      <c r="B117" s="330"/>
      <c r="C117" s="330"/>
      <c r="D117" s="330"/>
      <c r="E117" s="330"/>
      <c r="F117" s="330"/>
      <c r="G117" s="330"/>
      <c r="H117" s="330"/>
      <c r="I117" s="330"/>
      <c r="L117" s="74"/>
    </row>
    <row r="118" spans="1:12" s="51" customFormat="1" ht="24">
      <c r="A118" s="330" t="s">
        <v>230</v>
      </c>
      <c r="B118" s="330"/>
      <c r="C118" s="330"/>
      <c r="D118" s="330"/>
      <c r="E118" s="330"/>
      <c r="F118" s="330"/>
      <c r="G118" s="330"/>
      <c r="H118" s="330"/>
      <c r="I118" s="330"/>
      <c r="L118" s="74"/>
    </row>
    <row r="119" spans="1:12" s="51" customFormat="1" ht="24.75" customHeight="1">
      <c r="A119" s="330" t="s">
        <v>147</v>
      </c>
      <c r="B119" s="330"/>
      <c r="C119" s="330"/>
      <c r="D119" s="330"/>
      <c r="E119" s="330"/>
      <c r="F119" s="330"/>
      <c r="G119" s="330"/>
      <c r="H119" s="330"/>
      <c r="I119" s="330"/>
      <c r="L119" s="74"/>
    </row>
    <row r="120" spans="1:12" s="51" customFormat="1" ht="24.75" customHeight="1">
      <c r="A120" s="331"/>
      <c r="B120" s="331"/>
      <c r="C120" s="331"/>
      <c r="D120" s="331"/>
      <c r="E120" s="331"/>
      <c r="F120" s="331"/>
      <c r="G120" s="331"/>
      <c r="H120" s="331"/>
      <c r="I120" s="331"/>
      <c r="L120" s="74"/>
    </row>
    <row r="121" spans="3:12" s="54" customFormat="1" ht="24" customHeight="1">
      <c r="C121" s="330" t="s">
        <v>128</v>
      </c>
      <c r="D121" s="330"/>
      <c r="E121" s="330"/>
      <c r="G121" s="330" t="s">
        <v>67</v>
      </c>
      <c r="H121" s="330"/>
      <c r="I121" s="330"/>
      <c r="L121" s="74"/>
    </row>
    <row r="122" spans="3:12" s="54" customFormat="1" ht="10.5" customHeight="1">
      <c r="C122" s="307"/>
      <c r="D122" s="307"/>
      <c r="E122" s="307"/>
      <c r="G122" s="307"/>
      <c r="H122" s="307"/>
      <c r="I122" s="307"/>
      <c r="L122" s="74"/>
    </row>
    <row r="123" spans="3:12" s="70" customFormat="1" ht="21" customHeight="1">
      <c r="C123" s="71">
        <v>2556</v>
      </c>
      <c r="E123" s="71">
        <v>2555</v>
      </c>
      <c r="G123" s="71">
        <v>2556</v>
      </c>
      <c r="I123" s="71">
        <v>2555</v>
      </c>
      <c r="L123" s="74"/>
    </row>
    <row r="124" spans="3:12" s="70" customFormat="1" ht="21" customHeight="1">
      <c r="C124" s="307"/>
      <c r="D124" s="307"/>
      <c r="E124" s="307"/>
      <c r="F124" s="307"/>
      <c r="G124" s="307"/>
      <c r="H124" s="307"/>
      <c r="I124" s="307"/>
      <c r="L124" s="74"/>
    </row>
    <row r="125" spans="1:5" ht="21" customHeight="1">
      <c r="A125" s="51" t="s">
        <v>30</v>
      </c>
      <c r="E125" s="75"/>
    </row>
    <row r="126" spans="1:10" ht="24">
      <c r="A126" s="73" t="s">
        <v>31</v>
      </c>
      <c r="B126" s="76"/>
      <c r="C126" s="75">
        <v>1776487811</v>
      </c>
      <c r="D126" s="77"/>
      <c r="E126" s="1">
        <v>1755375712</v>
      </c>
      <c r="F126" s="79"/>
      <c r="G126" s="62">
        <v>55926618117</v>
      </c>
      <c r="H126" s="62"/>
      <c r="I126" s="1">
        <v>55048112925</v>
      </c>
      <c r="J126" s="75"/>
    </row>
    <row r="127" spans="1:10" ht="24">
      <c r="A127" s="73" t="s">
        <v>46</v>
      </c>
      <c r="B127" s="76"/>
      <c r="C127" s="75">
        <v>37267755</v>
      </c>
      <c r="D127" s="77"/>
      <c r="E127" s="1">
        <v>37634815</v>
      </c>
      <c r="F127" s="79"/>
      <c r="G127" s="62">
        <v>1173261894</v>
      </c>
      <c r="H127" s="62"/>
      <c r="I127" s="1">
        <v>1180266233</v>
      </c>
      <c r="J127" s="75"/>
    </row>
    <row r="128" spans="1:10" ht="24">
      <c r="A128" s="73" t="s">
        <v>32</v>
      </c>
      <c r="B128" s="76"/>
      <c r="C128" s="75"/>
      <c r="D128" s="79"/>
      <c r="E128" s="1"/>
      <c r="F128" s="79"/>
      <c r="G128" s="75"/>
      <c r="H128" s="62"/>
      <c r="I128" s="1"/>
      <c r="J128" s="75"/>
    </row>
    <row r="129" spans="1:10" ht="24">
      <c r="A129" s="73" t="s">
        <v>216</v>
      </c>
      <c r="B129" s="76"/>
      <c r="C129" s="62">
        <v>4003865</v>
      </c>
      <c r="D129" s="79"/>
      <c r="E129" s="1">
        <v>0</v>
      </c>
      <c r="F129" s="79"/>
      <c r="G129" s="62">
        <v>123015382</v>
      </c>
      <c r="H129" s="77"/>
      <c r="I129" s="113">
        <v>0</v>
      </c>
      <c r="J129" s="75"/>
    </row>
    <row r="130" spans="1:10" ht="24">
      <c r="A130" s="73" t="s">
        <v>33</v>
      </c>
      <c r="B130" s="76"/>
      <c r="C130" s="75">
        <v>5642364</v>
      </c>
      <c r="D130" s="77"/>
      <c r="E130" s="1">
        <f>1488944-1</f>
        <v>1488943</v>
      </c>
      <c r="F130" s="80"/>
      <c r="G130" s="62">
        <v>176864626</v>
      </c>
      <c r="H130" s="77"/>
      <c r="I130" s="1">
        <f>46616214+1</f>
        <v>46616215</v>
      </c>
      <c r="J130" s="75"/>
    </row>
    <row r="131" spans="1:10" ht="24" hidden="1">
      <c r="A131" s="73" t="s">
        <v>141</v>
      </c>
      <c r="B131" s="76"/>
      <c r="C131" s="85">
        <v>0</v>
      </c>
      <c r="D131" s="77"/>
      <c r="E131" s="1">
        <v>0</v>
      </c>
      <c r="F131" s="80"/>
      <c r="G131" s="62"/>
      <c r="H131" s="77"/>
      <c r="I131" s="113">
        <v>0</v>
      </c>
      <c r="J131" s="75"/>
    </row>
    <row r="132" spans="1:10" ht="24">
      <c r="A132" s="73" t="s">
        <v>34</v>
      </c>
      <c r="B132" s="76"/>
      <c r="C132" s="85">
        <v>17257284</v>
      </c>
      <c r="D132" s="77"/>
      <c r="E132" s="1">
        <v>25826293</v>
      </c>
      <c r="F132" s="79"/>
      <c r="G132" s="62">
        <v>537304224</v>
      </c>
      <c r="H132" s="77"/>
      <c r="I132" s="113">
        <v>807652289</v>
      </c>
      <c r="J132" s="75"/>
    </row>
    <row r="133" spans="1:9" ht="24" hidden="1">
      <c r="A133" s="73" t="s">
        <v>84</v>
      </c>
      <c r="B133" s="76"/>
      <c r="C133" s="329"/>
      <c r="D133" s="79"/>
      <c r="E133" s="62"/>
      <c r="F133" s="79"/>
      <c r="G133" s="62">
        <v>0</v>
      </c>
      <c r="H133" s="77"/>
      <c r="I133" s="113">
        <v>0</v>
      </c>
    </row>
    <row r="134" spans="1:9" ht="24">
      <c r="A134" s="73" t="s">
        <v>204</v>
      </c>
      <c r="B134" s="76"/>
      <c r="C134" s="150">
        <f>SUM(C126:C132)</f>
        <v>1840659079</v>
      </c>
      <c r="D134" s="98"/>
      <c r="E134" s="92">
        <f>SUM(E126:E132)</f>
        <v>1820325763</v>
      </c>
      <c r="F134" s="99"/>
      <c r="G134" s="120">
        <f>SUM(G126:G133)</f>
        <v>57937064243</v>
      </c>
      <c r="H134" s="77"/>
      <c r="I134" s="120">
        <f>SUM(I126:I133)</f>
        <v>57082647662</v>
      </c>
    </row>
    <row r="135" spans="1:9" ht="24">
      <c r="A135" s="51" t="s">
        <v>35</v>
      </c>
      <c r="B135" s="76"/>
      <c r="C135" s="62"/>
      <c r="D135" s="77"/>
      <c r="E135" s="62"/>
      <c r="F135" s="79"/>
      <c r="G135" s="75"/>
      <c r="H135" s="77"/>
      <c r="I135" s="75"/>
    </row>
    <row r="136" spans="1:10" ht="24">
      <c r="A136" s="73" t="s">
        <v>79</v>
      </c>
      <c r="B136" s="76"/>
      <c r="C136" s="75">
        <v>215117451</v>
      </c>
      <c r="D136" s="77"/>
      <c r="E136" s="1">
        <v>177560342</v>
      </c>
      <c r="F136" s="79"/>
      <c r="G136" s="62">
        <v>6782198470</v>
      </c>
      <c r="H136" s="77"/>
      <c r="I136" s="1">
        <v>5567828245</v>
      </c>
      <c r="J136" s="75"/>
    </row>
    <row r="137" spans="1:10" ht="24">
      <c r="A137" s="73" t="s">
        <v>85</v>
      </c>
      <c r="B137" s="76"/>
      <c r="C137" s="75">
        <v>48387325</v>
      </c>
      <c r="D137" s="77"/>
      <c r="E137" s="1">
        <f>28079053+16830169-1</f>
        <v>44909221</v>
      </c>
      <c r="F137" s="79"/>
      <c r="G137" s="62">
        <v>1523453460</v>
      </c>
      <c r="H137" s="77"/>
      <c r="I137" s="1">
        <f>882608645+521720148+1</f>
        <v>1404328794</v>
      </c>
      <c r="J137" s="75"/>
    </row>
    <row r="138" spans="1:10" ht="24">
      <c r="A138" s="73" t="s">
        <v>95</v>
      </c>
      <c r="B138" s="76"/>
      <c r="C138" s="75">
        <v>69987695</v>
      </c>
      <c r="D138" s="77"/>
      <c r="E138" s="1">
        <f>69616348-ROUND(692892.32,0)+9561351</f>
        <v>78484807</v>
      </c>
      <c r="F138" s="79"/>
      <c r="G138" s="62">
        <v>2209784492</v>
      </c>
      <c r="H138" s="77"/>
      <c r="I138" s="1">
        <f>2177171331-ROUND(21729934.72,0)+296391354+1</f>
        <v>2451832751</v>
      </c>
      <c r="J138" s="75"/>
    </row>
    <row r="139" spans="1:10" ht="24">
      <c r="A139" s="73" t="s">
        <v>80</v>
      </c>
      <c r="B139" s="76"/>
      <c r="C139" s="75">
        <v>199176958</v>
      </c>
      <c r="D139" s="77"/>
      <c r="E139" s="1">
        <v>207679661</v>
      </c>
      <c r="F139" s="79"/>
      <c r="G139" s="62">
        <v>6271860891</v>
      </c>
      <c r="H139" s="77"/>
      <c r="I139" s="1">
        <f>6512643750-1</f>
        <v>6512643749</v>
      </c>
      <c r="J139" s="75"/>
    </row>
    <row r="140" spans="1:10" ht="24">
      <c r="A140" s="73" t="s">
        <v>86</v>
      </c>
      <c r="B140" s="76"/>
      <c r="C140" s="75">
        <v>410311195</v>
      </c>
      <c r="D140" s="77"/>
      <c r="E140" s="1">
        <v>371846010</v>
      </c>
      <c r="F140" s="79"/>
      <c r="G140" s="62">
        <v>12917599277</v>
      </c>
      <c r="H140" s="77"/>
      <c r="I140" s="1">
        <f>11662673814-1</f>
        <v>11662673813</v>
      </c>
      <c r="J140" s="75"/>
    </row>
    <row r="141" spans="1:10" ht="24">
      <c r="A141" s="73" t="s">
        <v>36</v>
      </c>
      <c r="B141" s="76"/>
      <c r="C141" s="62"/>
      <c r="D141" s="77"/>
      <c r="E141" s="113"/>
      <c r="F141" s="79"/>
      <c r="G141" s="62"/>
      <c r="H141" s="77"/>
      <c r="I141" s="113"/>
      <c r="J141" s="75"/>
    </row>
    <row r="142" spans="1:10" ht="24">
      <c r="A142" s="73" t="s">
        <v>221</v>
      </c>
      <c r="B142" s="76"/>
      <c r="C142" s="62">
        <v>0</v>
      </c>
      <c r="D142" s="77"/>
      <c r="E142" s="1">
        <f>12120956+318644</f>
        <v>12439600</v>
      </c>
      <c r="F142" s="79"/>
      <c r="G142" s="62">
        <v>0</v>
      </c>
      <c r="H142" s="77"/>
      <c r="I142" s="1">
        <f>356708772+9877616+1</f>
        <v>366586389</v>
      </c>
      <c r="J142" s="75"/>
    </row>
    <row r="143" spans="1:9" ht="24" customHeight="1" hidden="1">
      <c r="A143" s="73" t="s">
        <v>89</v>
      </c>
      <c r="B143" s="76"/>
      <c r="C143" s="100"/>
      <c r="D143" s="77"/>
      <c r="E143" s="1">
        <v>0</v>
      </c>
      <c r="F143" s="79"/>
      <c r="G143" s="100"/>
      <c r="H143" s="77"/>
      <c r="I143" s="1">
        <v>0</v>
      </c>
    </row>
    <row r="144" spans="1:9" ht="24">
      <c r="A144" s="73" t="s">
        <v>217</v>
      </c>
      <c r="B144" s="76"/>
      <c r="C144" s="75">
        <v>8631630</v>
      </c>
      <c r="D144" s="77"/>
      <c r="E144" s="1">
        <f>19579567-339936-1</f>
        <v>19239630</v>
      </c>
      <c r="F144" s="79"/>
      <c r="G144" s="100">
        <v>274444715</v>
      </c>
      <c r="H144" s="77"/>
      <c r="I144" s="1">
        <f>601214060-10537632</f>
        <v>590676428</v>
      </c>
    </row>
    <row r="145" spans="1:9" ht="24">
      <c r="A145" s="73" t="s">
        <v>96</v>
      </c>
      <c r="B145" s="76"/>
      <c r="C145" s="75">
        <v>1468264</v>
      </c>
      <c r="D145" s="77"/>
      <c r="E145" s="1">
        <f>478988+ROUND(692892.32,0)</f>
        <v>1171880</v>
      </c>
      <c r="F145" s="79"/>
      <c r="G145" s="62">
        <v>44823835</v>
      </c>
      <c r="H145" s="77"/>
      <c r="I145" s="1">
        <f>15027866+ROUND(21729934.72,0)</f>
        <v>36757801</v>
      </c>
    </row>
    <row r="146" spans="1:9" ht="24" hidden="1">
      <c r="A146" s="73" t="s">
        <v>166</v>
      </c>
      <c r="B146" s="76"/>
      <c r="C146" s="62">
        <v>0</v>
      </c>
      <c r="D146" s="77"/>
      <c r="E146" s="113">
        <v>0</v>
      </c>
      <c r="F146" s="79"/>
      <c r="G146" s="62">
        <v>0</v>
      </c>
      <c r="H146" s="77"/>
      <c r="I146" s="113">
        <v>0</v>
      </c>
    </row>
    <row r="147" spans="1:9" ht="24">
      <c r="A147" s="73" t="s">
        <v>150</v>
      </c>
      <c r="B147" s="76"/>
      <c r="C147" s="93">
        <v>42804873</v>
      </c>
      <c r="D147" s="77"/>
      <c r="E147" s="326">
        <v>54140501</v>
      </c>
      <c r="F147" s="79"/>
      <c r="G147" s="101">
        <v>1349345953</v>
      </c>
      <c r="H147" s="77"/>
      <c r="I147" s="327">
        <f>1696177130+1</f>
        <v>1696177131</v>
      </c>
    </row>
    <row r="148" spans="1:9" ht="24">
      <c r="A148" s="73" t="s">
        <v>205</v>
      </c>
      <c r="B148" s="76"/>
      <c r="C148" s="137">
        <f>SUM(C136:C147)</f>
        <v>995885391</v>
      </c>
      <c r="D148" s="98"/>
      <c r="E148" s="137">
        <f>SUM(E136:E147)</f>
        <v>967471652</v>
      </c>
      <c r="F148" s="99"/>
      <c r="G148" s="137">
        <f>SUM(G136:G147)</f>
        <v>31373511093</v>
      </c>
      <c r="H148" s="98"/>
      <c r="I148" s="137">
        <f>SUM(I136:I147)</f>
        <v>30289505101</v>
      </c>
    </row>
    <row r="149" spans="1:15" ht="24">
      <c r="A149" s="73" t="s">
        <v>144</v>
      </c>
      <c r="B149" s="76"/>
      <c r="C149" s="114">
        <v>2197555</v>
      </c>
      <c r="D149" s="77"/>
      <c r="E149" s="114">
        <v>1300056</v>
      </c>
      <c r="F149" s="79"/>
      <c r="G149" s="114">
        <v>69532893</v>
      </c>
      <c r="H149" s="77"/>
      <c r="I149" s="114">
        <f>40426418+1</f>
        <v>40426419</v>
      </c>
      <c r="L149" s="161"/>
      <c r="M149" s="85"/>
      <c r="N149" s="144"/>
      <c r="O149" s="85"/>
    </row>
    <row r="150" spans="1:15" s="51" customFormat="1" ht="24">
      <c r="A150" s="51" t="s">
        <v>94</v>
      </c>
      <c r="B150" s="102"/>
      <c r="C150" s="117">
        <f>+C134-C148+C149</f>
        <v>846971243</v>
      </c>
      <c r="D150" s="98"/>
      <c r="E150" s="117">
        <f>+E134-E148+E149</f>
        <v>854154167</v>
      </c>
      <c r="F150" s="99"/>
      <c r="G150" s="117">
        <f>+G134-G148+G149</f>
        <v>26633086043</v>
      </c>
      <c r="H150" s="98"/>
      <c r="I150" s="117">
        <f>+I134-I148+I149</f>
        <v>26833568980</v>
      </c>
      <c r="L150" s="161"/>
      <c r="M150" s="75"/>
      <c r="N150" s="145"/>
      <c r="O150" s="85"/>
    </row>
    <row r="151" spans="1:15" ht="24">
      <c r="A151" s="73" t="s">
        <v>156</v>
      </c>
      <c r="B151" s="76"/>
      <c r="C151" s="114">
        <v>-280658597</v>
      </c>
      <c r="D151" s="85"/>
      <c r="E151" s="114">
        <v>-296472224</v>
      </c>
      <c r="F151" s="79"/>
      <c r="G151" s="114">
        <v>-8827601854</v>
      </c>
      <c r="H151" s="85"/>
      <c r="I151" s="114">
        <v>-9307153315</v>
      </c>
      <c r="J151" s="75"/>
      <c r="L151" s="161"/>
      <c r="M151" s="75"/>
      <c r="N151" s="144"/>
      <c r="O151" s="85"/>
    </row>
    <row r="152" spans="1:15" ht="24.75" thickBot="1">
      <c r="A152" s="51" t="s">
        <v>148</v>
      </c>
      <c r="B152" s="76"/>
      <c r="C152" s="328">
        <f>SUM(C150:C151)</f>
        <v>566312646</v>
      </c>
      <c r="D152" s="86"/>
      <c r="E152" s="328">
        <f>SUM(E150:E151)</f>
        <v>557681943</v>
      </c>
      <c r="F152" s="86"/>
      <c r="G152" s="328">
        <f>SUM(G150:G151)</f>
        <v>17805484189</v>
      </c>
      <c r="H152" s="86"/>
      <c r="I152" s="328">
        <f>SUM(I150:I151)</f>
        <v>17526415665</v>
      </c>
      <c r="L152" s="161"/>
      <c r="M152" s="75"/>
      <c r="N152" s="144"/>
      <c r="O152" s="85"/>
    </row>
    <row r="153" spans="1:9" ht="18" customHeight="1">
      <c r="A153" s="51"/>
      <c r="B153" s="76"/>
      <c r="C153" s="86"/>
      <c r="D153" s="77"/>
      <c r="E153" s="86"/>
      <c r="F153" s="103"/>
      <c r="G153" s="104"/>
      <c r="H153" s="103"/>
      <c r="I153" s="86"/>
    </row>
    <row r="154" spans="1:9" ht="24">
      <c r="A154" s="51" t="s">
        <v>44</v>
      </c>
      <c r="B154" s="131"/>
      <c r="C154" s="96"/>
      <c r="D154" s="105"/>
      <c r="E154" s="105"/>
      <c r="F154" s="106"/>
      <c r="G154" s="96"/>
      <c r="H154" s="105"/>
      <c r="I154" s="66"/>
    </row>
    <row r="155" spans="1:9" ht="9" customHeight="1">
      <c r="A155" s="51"/>
      <c r="C155" s="106"/>
      <c r="D155" s="106"/>
      <c r="E155" s="106"/>
      <c r="F155" s="106"/>
      <c r="G155" s="66"/>
      <c r="H155" s="106"/>
      <c r="I155" s="66"/>
    </row>
    <row r="156" spans="1:9" ht="26.25" customHeight="1">
      <c r="A156" s="73" t="s">
        <v>37</v>
      </c>
      <c r="C156" s="107">
        <f>(+C152-2276731.22)/G98</f>
        <v>0.1420750602206245</v>
      </c>
      <c r="D156" s="107"/>
      <c r="E156" s="121">
        <f>(E152+Equity_Change_Conso!N20)/3319985400</f>
        <v>0.1672606018086706</v>
      </c>
      <c r="F156" s="107"/>
      <c r="G156" s="107">
        <f>(+G152-72185521.8)/G98</f>
        <v>4.466842287933855</v>
      </c>
      <c r="H156" s="107"/>
      <c r="I156" s="121">
        <f>(I152+Equity_Change_Conso!N67)/3319985400</f>
        <v>5.256849462952458</v>
      </c>
    </row>
    <row r="157" spans="1:9" ht="26.25" customHeight="1">
      <c r="A157" s="73" t="s">
        <v>72</v>
      </c>
      <c r="C157" s="107">
        <f>(+C152-2276731.22)/G98</f>
        <v>0.1420750602206245</v>
      </c>
      <c r="D157" s="107"/>
      <c r="E157" s="121">
        <f>(E152+Equity_Change_Conso!N20)/3319985400</f>
        <v>0.1672606018086706</v>
      </c>
      <c r="F157" s="107"/>
      <c r="G157" s="107">
        <f>(+G152-72185521.8)/G98</f>
        <v>4.466842287933855</v>
      </c>
      <c r="H157" s="107"/>
      <c r="I157" s="121">
        <f>(I152+Equity_Change_Conso!N67)/3319985400</f>
        <v>5.256849462952458</v>
      </c>
    </row>
    <row r="158" spans="3:9" ht="24">
      <c r="C158" s="105"/>
      <c r="D158" s="105"/>
      <c r="E158" s="105"/>
      <c r="F158" s="106"/>
      <c r="G158" s="108"/>
      <c r="H158" s="105"/>
      <c r="I158" s="66"/>
    </row>
    <row r="159" spans="1:9" ht="24">
      <c r="A159" s="75" t="str">
        <f>A112</f>
        <v>หมายเหตุประกอบข้อมูลทางการเงินระหว่างกาลเป็นส่วนหนึ่งของข้อมูลทางการเงินนี้       </v>
      </c>
      <c r="C159" s="105"/>
      <c r="D159" s="105"/>
      <c r="E159" s="105"/>
      <c r="F159" s="106"/>
      <c r="G159" s="66"/>
      <c r="H159" s="105"/>
      <c r="I159" s="66"/>
    </row>
    <row r="161" spans="1:12" s="51" customFormat="1" ht="24.75" customHeight="1">
      <c r="A161" s="332">
        <v>8</v>
      </c>
      <c r="B161" s="332"/>
      <c r="C161" s="332"/>
      <c r="D161" s="332"/>
      <c r="E161" s="332"/>
      <c r="F161" s="332"/>
      <c r="G161" s="332"/>
      <c r="H161" s="332"/>
      <c r="I161" s="332"/>
      <c r="L161" s="74"/>
    </row>
    <row r="162" spans="1:12" s="51" customFormat="1" ht="24.75" customHeight="1">
      <c r="A162" s="131"/>
      <c r="B162" s="131"/>
      <c r="C162" s="131"/>
      <c r="D162" s="131"/>
      <c r="E162" s="131"/>
      <c r="F162" s="131"/>
      <c r="G162" s="131"/>
      <c r="H162" s="131"/>
      <c r="I162" s="97" t="s">
        <v>113</v>
      </c>
      <c r="L162" s="74"/>
    </row>
    <row r="163" spans="1:12" s="51" customFormat="1" ht="24.75" customHeight="1">
      <c r="A163" s="131"/>
      <c r="B163" s="131"/>
      <c r="C163" s="131"/>
      <c r="D163" s="131"/>
      <c r="E163" s="131"/>
      <c r="F163" s="131"/>
      <c r="G163" s="131"/>
      <c r="H163" s="131"/>
      <c r="I163" s="97" t="s">
        <v>114</v>
      </c>
      <c r="L163" s="74"/>
    </row>
    <row r="164" spans="1:12" s="51" customFormat="1" ht="21.75" customHeight="1">
      <c r="A164" s="330" t="s">
        <v>4</v>
      </c>
      <c r="B164" s="330"/>
      <c r="C164" s="330"/>
      <c r="D164" s="330"/>
      <c r="E164" s="330"/>
      <c r="F164" s="330"/>
      <c r="G164" s="330"/>
      <c r="H164" s="330"/>
      <c r="I164" s="330"/>
      <c r="L164" s="74"/>
    </row>
    <row r="165" spans="1:12" s="51" customFormat="1" ht="24.75" customHeight="1">
      <c r="A165" s="330" t="s">
        <v>115</v>
      </c>
      <c r="B165" s="330"/>
      <c r="C165" s="330"/>
      <c r="D165" s="330"/>
      <c r="E165" s="330"/>
      <c r="F165" s="330"/>
      <c r="G165" s="330"/>
      <c r="H165" s="330"/>
      <c r="I165" s="330"/>
      <c r="L165" s="74"/>
    </row>
    <row r="166" spans="1:12" s="51" customFormat="1" ht="24">
      <c r="A166" s="330" t="str">
        <f>+A118</f>
        <v>สำหรับงวดสามเดือนสิ้นสุดวันที่ 30 กันยายน 2556</v>
      </c>
      <c r="B166" s="330"/>
      <c r="C166" s="330"/>
      <c r="D166" s="330"/>
      <c r="E166" s="330"/>
      <c r="F166" s="330"/>
      <c r="G166" s="330"/>
      <c r="H166" s="330"/>
      <c r="I166" s="330"/>
      <c r="L166" s="74"/>
    </row>
    <row r="167" spans="1:12" s="51" customFormat="1" ht="24.75" customHeight="1">
      <c r="A167" s="330" t="s">
        <v>147</v>
      </c>
      <c r="B167" s="330"/>
      <c r="C167" s="330"/>
      <c r="D167" s="330"/>
      <c r="E167" s="330"/>
      <c r="F167" s="330"/>
      <c r="G167" s="330"/>
      <c r="H167" s="330"/>
      <c r="I167" s="330"/>
      <c r="L167" s="74"/>
    </row>
    <row r="168" spans="1:12" s="51" customFormat="1" ht="24.75" customHeight="1">
      <c r="A168" s="331"/>
      <c r="B168" s="331"/>
      <c r="C168" s="331"/>
      <c r="D168" s="331"/>
      <c r="E168" s="331"/>
      <c r="F168" s="331"/>
      <c r="G168" s="331"/>
      <c r="H168" s="331"/>
      <c r="I168" s="331"/>
      <c r="L168" s="74"/>
    </row>
    <row r="169" spans="3:12" s="54" customFormat="1" ht="21" customHeight="1">
      <c r="C169" s="330" t="s">
        <v>128</v>
      </c>
      <c r="D169" s="330"/>
      <c r="E169" s="330"/>
      <c r="G169" s="330" t="s">
        <v>67</v>
      </c>
      <c r="H169" s="330"/>
      <c r="I169" s="330"/>
      <c r="L169" s="74"/>
    </row>
    <row r="170" spans="3:12" s="54" customFormat="1" ht="10.5" customHeight="1">
      <c r="C170" s="307"/>
      <c r="D170" s="307"/>
      <c r="E170" s="307"/>
      <c r="G170" s="307"/>
      <c r="H170" s="307"/>
      <c r="I170" s="307"/>
      <c r="L170" s="74"/>
    </row>
    <row r="171" spans="3:12" s="70" customFormat="1" ht="21" customHeight="1">
      <c r="C171" s="71">
        <v>2556</v>
      </c>
      <c r="E171" s="71">
        <v>2555</v>
      </c>
      <c r="G171" s="71">
        <v>2556</v>
      </c>
      <c r="I171" s="71">
        <v>2555</v>
      </c>
      <c r="L171" s="74"/>
    </row>
    <row r="172" spans="3:12" s="70" customFormat="1" ht="21" customHeight="1">
      <c r="C172" s="307"/>
      <c r="D172" s="307"/>
      <c r="E172" s="307"/>
      <c r="F172" s="307"/>
      <c r="G172" s="307"/>
      <c r="H172" s="307"/>
      <c r="I172" s="307"/>
      <c r="L172" s="74"/>
    </row>
    <row r="173" spans="3:12" s="70" customFormat="1" ht="18" customHeight="1">
      <c r="C173" s="109"/>
      <c r="E173" s="109"/>
      <c r="G173" s="109"/>
      <c r="I173" s="102"/>
      <c r="L173" s="74"/>
    </row>
    <row r="174" spans="1:9" ht="24">
      <c r="A174" s="51" t="s">
        <v>148</v>
      </c>
      <c r="C174" s="82">
        <f>C152</f>
        <v>566312646</v>
      </c>
      <c r="D174" s="51"/>
      <c r="E174" s="119">
        <f>+E152</f>
        <v>557681943</v>
      </c>
      <c r="F174" s="51"/>
      <c r="G174" s="82">
        <f>G152</f>
        <v>17805484189</v>
      </c>
      <c r="H174" s="51"/>
      <c r="I174" s="119">
        <f>+I152</f>
        <v>17526415665</v>
      </c>
    </row>
    <row r="175" spans="1:9" ht="24">
      <c r="A175" s="51" t="s">
        <v>167</v>
      </c>
      <c r="C175" s="75"/>
      <c r="E175" s="1"/>
      <c r="G175" s="75"/>
      <c r="I175" s="1"/>
    </row>
    <row r="176" spans="1:9" ht="24">
      <c r="A176" s="75" t="s">
        <v>117</v>
      </c>
      <c r="C176" s="75">
        <v>37472623</v>
      </c>
      <c r="E176" s="1">
        <v>40847756</v>
      </c>
      <c r="G176" s="1">
        <v>3530074971</v>
      </c>
      <c r="I176" s="1">
        <v>-5947695987</v>
      </c>
    </row>
    <row r="177" spans="1:9" ht="24">
      <c r="A177" s="75" t="s">
        <v>237</v>
      </c>
      <c r="C177" s="75">
        <v>-168167</v>
      </c>
      <c r="E177" s="1">
        <v>14134</v>
      </c>
      <c r="G177" s="1">
        <f>ROUND(-5250505.9655642,0)</f>
        <v>-5250506</v>
      </c>
      <c r="I177" s="1">
        <v>438142</v>
      </c>
    </row>
    <row r="178" spans="1:9" ht="24">
      <c r="A178" s="75" t="s">
        <v>210</v>
      </c>
      <c r="C178" s="75">
        <v>1643194</v>
      </c>
      <c r="E178" s="1">
        <v>-17651082</v>
      </c>
      <c r="G178" s="1">
        <f>ROUND(57218962.1607234,0)</f>
        <v>57218962</v>
      </c>
      <c r="I178" s="1">
        <v>-554409433.02</v>
      </c>
    </row>
    <row r="179" spans="1:9" ht="24">
      <c r="A179" s="75" t="s">
        <v>149</v>
      </c>
      <c r="C179" s="75">
        <v>1338930</v>
      </c>
      <c r="E179" s="1">
        <v>3150161</v>
      </c>
      <c r="G179" s="1">
        <f>ROUND(42457743.6749296,0)</f>
        <v>42457744</v>
      </c>
      <c r="I179" s="1">
        <f>97651533-1</f>
        <v>97651532</v>
      </c>
    </row>
    <row r="180" spans="1:9" ht="24">
      <c r="A180" s="51" t="s">
        <v>132</v>
      </c>
      <c r="C180" s="116">
        <f>SUM(C176:C179)</f>
        <v>40286580</v>
      </c>
      <c r="D180" s="51"/>
      <c r="E180" s="116">
        <f>SUM(E176:E179)</f>
        <v>26360969</v>
      </c>
      <c r="F180" s="51"/>
      <c r="G180" s="116">
        <f>SUM(G176:G179)</f>
        <v>3624501171</v>
      </c>
      <c r="H180" s="51"/>
      <c r="I180" s="116">
        <f>SUM(I176:I179)</f>
        <v>-6404015746.02</v>
      </c>
    </row>
    <row r="181" spans="1:9" ht="24.75" thickBot="1">
      <c r="A181" s="51" t="s">
        <v>131</v>
      </c>
      <c r="C181" s="328">
        <f>+C174+C180</f>
        <v>606599226</v>
      </c>
      <c r="D181" s="51"/>
      <c r="E181" s="328">
        <f>+E174+E180</f>
        <v>584042912</v>
      </c>
      <c r="F181" s="51"/>
      <c r="G181" s="328">
        <f>+G174+G180</f>
        <v>21429985360</v>
      </c>
      <c r="H181" s="51"/>
      <c r="I181" s="328">
        <f>+I174+I180</f>
        <v>11122399918.98</v>
      </c>
    </row>
    <row r="182" spans="1:9" ht="24">
      <c r="A182" s="51"/>
      <c r="C182" s="111">
        <f>+C181-Equity_Change_Conso!Z43</f>
        <v>-996041800</v>
      </c>
      <c r="D182" s="111">
        <f>+D181-Equity_Change_Conso!AA43</f>
        <v>0</v>
      </c>
      <c r="E182" s="111">
        <f>+E181-Equity_Change_Conso!Z22</f>
        <v>-822467561</v>
      </c>
      <c r="F182" s="111">
        <f>+F181-Equity_Change_Conso!AC43</f>
        <v>0</v>
      </c>
      <c r="G182" s="111">
        <f>+G181-Equity_Change_Conso!Z89</f>
        <v>-36262462835</v>
      </c>
      <c r="H182" s="111">
        <f>+H181-Equity_Change_Conso!AE43</f>
        <v>0</v>
      </c>
      <c r="I182" s="111">
        <f>+I181-Equity_Change_Conso!Z69</f>
        <v>-26657545553.02</v>
      </c>
    </row>
    <row r="183" spans="3:9" ht="24">
      <c r="C183" s="111">
        <f>+C180-Equity_Change_Conso!X43</f>
        <v>45023191</v>
      </c>
      <c r="D183" s="111">
        <f>+D180-Equity_Change_Conso!Y43</f>
        <v>0</v>
      </c>
      <c r="E183" s="111">
        <f>+E180-Equity_Change_Conso!X22</f>
        <v>16853405</v>
      </c>
      <c r="F183" s="111">
        <f>+F180-Equity_Change_Conso!AA43</f>
        <v>0</v>
      </c>
      <c r="G183" s="111">
        <f>+G180-Equity_Change_Conso!X89</f>
        <v>-5340575859</v>
      </c>
      <c r="H183" s="111">
        <f>+H180-Equity_Change_Conso!AC43</f>
        <v>0</v>
      </c>
      <c r="I183" s="111">
        <f>+I180-Equity_Change_Conso!X69</f>
        <v>-636380871.0200005</v>
      </c>
    </row>
    <row r="184" spans="1:9" ht="24">
      <c r="A184" s="75" t="str">
        <f>A159</f>
        <v>หมายเหตุประกอบข้อมูลทางการเงินระหว่างกาลเป็นส่วนหนึ่งของข้อมูลทางการเงินนี้       </v>
      </c>
      <c r="C184" s="96"/>
      <c r="D184" s="96"/>
      <c r="E184" s="96"/>
      <c r="F184" s="96"/>
      <c r="G184" s="96"/>
      <c r="H184" s="96"/>
      <c r="I184" s="96"/>
    </row>
    <row r="185" spans="1:9" ht="27.75">
      <c r="A185" s="332">
        <v>9</v>
      </c>
      <c r="B185" s="332"/>
      <c r="C185" s="332"/>
      <c r="D185" s="332"/>
      <c r="E185" s="332"/>
      <c r="F185" s="332"/>
      <c r="G185" s="332"/>
      <c r="H185" s="332"/>
      <c r="I185" s="332"/>
    </row>
    <row r="186" spans="1:12" s="51" customFormat="1" ht="24.75" customHeight="1">
      <c r="A186" s="131"/>
      <c r="B186" s="131"/>
      <c r="C186" s="131"/>
      <c r="D186" s="131"/>
      <c r="E186" s="131"/>
      <c r="F186" s="131"/>
      <c r="G186" s="131"/>
      <c r="H186" s="131"/>
      <c r="I186" s="97" t="s">
        <v>113</v>
      </c>
      <c r="L186" s="74"/>
    </row>
    <row r="187" spans="1:12" s="51" customFormat="1" ht="24.75" customHeight="1">
      <c r="A187" s="131"/>
      <c r="B187" s="131"/>
      <c r="C187" s="131"/>
      <c r="D187" s="131"/>
      <c r="E187" s="131"/>
      <c r="F187" s="131"/>
      <c r="G187" s="131"/>
      <c r="H187" s="131"/>
      <c r="I187" s="97" t="s">
        <v>114</v>
      </c>
      <c r="L187" s="74"/>
    </row>
    <row r="188" spans="1:12" s="51" customFormat="1" ht="21.75" customHeight="1">
      <c r="A188" s="330" t="s">
        <v>4</v>
      </c>
      <c r="B188" s="330"/>
      <c r="C188" s="330"/>
      <c r="D188" s="330"/>
      <c r="E188" s="330"/>
      <c r="F188" s="330"/>
      <c r="G188" s="330"/>
      <c r="H188" s="330"/>
      <c r="I188" s="330"/>
      <c r="L188" s="74"/>
    </row>
    <row r="189" spans="1:12" s="51" customFormat="1" ht="24.75" customHeight="1">
      <c r="A189" s="330" t="s">
        <v>130</v>
      </c>
      <c r="B189" s="330"/>
      <c r="C189" s="330"/>
      <c r="D189" s="330"/>
      <c r="E189" s="330"/>
      <c r="F189" s="330"/>
      <c r="G189" s="330"/>
      <c r="H189" s="330"/>
      <c r="I189" s="330"/>
      <c r="L189" s="74"/>
    </row>
    <row r="190" spans="1:12" s="51" customFormat="1" ht="24">
      <c r="A190" s="330" t="s">
        <v>231</v>
      </c>
      <c r="B190" s="330"/>
      <c r="C190" s="330"/>
      <c r="D190" s="330"/>
      <c r="E190" s="330"/>
      <c r="F190" s="330"/>
      <c r="G190" s="330"/>
      <c r="H190" s="330"/>
      <c r="I190" s="330"/>
      <c r="L190" s="74"/>
    </row>
    <row r="191" spans="1:12" s="51" customFormat="1" ht="24.75" customHeight="1">
      <c r="A191" s="330" t="s">
        <v>147</v>
      </c>
      <c r="B191" s="330"/>
      <c r="C191" s="330"/>
      <c r="D191" s="330"/>
      <c r="E191" s="330"/>
      <c r="F191" s="330"/>
      <c r="G191" s="330"/>
      <c r="H191" s="330"/>
      <c r="I191" s="330"/>
      <c r="L191" s="74"/>
    </row>
    <row r="192" spans="1:12" s="51" customFormat="1" ht="24.75" customHeight="1">
      <c r="A192" s="331"/>
      <c r="B192" s="331"/>
      <c r="C192" s="331"/>
      <c r="D192" s="331"/>
      <c r="E192" s="331"/>
      <c r="F192" s="331"/>
      <c r="G192" s="331"/>
      <c r="H192" s="331"/>
      <c r="I192" s="331"/>
      <c r="L192" s="74"/>
    </row>
    <row r="193" spans="3:12" s="54" customFormat="1" ht="24" customHeight="1">
      <c r="C193" s="330" t="s">
        <v>128</v>
      </c>
      <c r="D193" s="330"/>
      <c r="E193" s="330"/>
      <c r="G193" s="330" t="s">
        <v>67</v>
      </c>
      <c r="H193" s="330"/>
      <c r="I193" s="330"/>
      <c r="L193" s="74"/>
    </row>
    <row r="194" spans="3:12" s="54" customFormat="1" ht="10.5" customHeight="1">
      <c r="C194" s="307"/>
      <c r="D194" s="307"/>
      <c r="E194" s="307"/>
      <c r="G194" s="307"/>
      <c r="H194" s="307"/>
      <c r="I194" s="307"/>
      <c r="L194" s="74"/>
    </row>
    <row r="195" spans="2:16" s="70" customFormat="1" ht="21" customHeight="1">
      <c r="B195" s="70" t="s">
        <v>5</v>
      </c>
      <c r="C195" s="71">
        <v>2556</v>
      </c>
      <c r="E195" s="71">
        <v>2555</v>
      </c>
      <c r="G195" s="71">
        <v>2556</v>
      </c>
      <c r="I195" s="71">
        <v>2555</v>
      </c>
      <c r="L195" s="74"/>
      <c r="M195" s="147"/>
      <c r="N195" s="147"/>
      <c r="O195" s="147"/>
      <c r="P195" s="147"/>
    </row>
    <row r="196" spans="3:16" s="70" customFormat="1" ht="21" customHeight="1">
      <c r="C196" s="307"/>
      <c r="D196" s="307"/>
      <c r="E196" s="307"/>
      <c r="F196" s="307"/>
      <c r="G196" s="307"/>
      <c r="H196" s="307"/>
      <c r="I196" s="307"/>
      <c r="L196" s="74"/>
      <c r="M196" s="147"/>
      <c r="N196" s="147"/>
      <c r="O196" s="147"/>
      <c r="P196" s="147"/>
    </row>
    <row r="197" spans="1:16" ht="21" customHeight="1">
      <c r="A197" s="51" t="s">
        <v>30</v>
      </c>
      <c r="E197" s="75"/>
      <c r="M197" s="144"/>
      <c r="N197" s="144"/>
      <c r="O197" s="144"/>
      <c r="P197" s="144"/>
    </row>
    <row r="198" spans="1:16" ht="24">
      <c r="A198" s="73" t="s">
        <v>31</v>
      </c>
      <c r="B198" s="76"/>
      <c r="C198" s="75">
        <f>ROUND(5355651127.27163,0)</f>
        <v>5355651127</v>
      </c>
      <c r="D198" s="77"/>
      <c r="E198" s="113">
        <v>4847360711</v>
      </c>
      <c r="F198" s="79"/>
      <c r="G198" s="62">
        <f>ROUND(162726467092.696,0)</f>
        <v>162726467093</v>
      </c>
      <c r="H198" s="62"/>
      <c r="I198" s="113">
        <v>151333764538</v>
      </c>
      <c r="J198" s="75"/>
      <c r="M198" s="144"/>
      <c r="N198" s="85"/>
      <c r="O198" s="144"/>
      <c r="P198" s="85"/>
    </row>
    <row r="199" spans="1:16" ht="24">
      <c r="A199" s="73" t="s">
        <v>46</v>
      </c>
      <c r="B199" s="76"/>
      <c r="C199" s="75">
        <f>ROUND(113461671.59,0)</f>
        <v>113461672</v>
      </c>
      <c r="D199" s="77"/>
      <c r="E199" s="113">
        <v>113547706</v>
      </c>
      <c r="F199" s="79"/>
      <c r="G199" s="62">
        <f>ROUND(3455671363.50498,0)-1</f>
        <v>3455671363</v>
      </c>
      <c r="H199" s="62"/>
      <c r="I199" s="113">
        <v>3545886240</v>
      </c>
      <c r="J199" s="75"/>
      <c r="M199" s="144"/>
      <c r="N199" s="85"/>
      <c r="O199" s="144"/>
      <c r="P199" s="85"/>
    </row>
    <row r="200" spans="1:16" ht="24">
      <c r="A200" s="73" t="s">
        <v>32</v>
      </c>
      <c r="B200" s="76"/>
      <c r="C200" s="75"/>
      <c r="D200" s="79"/>
      <c r="E200" s="1"/>
      <c r="F200" s="79"/>
      <c r="G200" s="75"/>
      <c r="H200" s="62"/>
      <c r="I200" s="1"/>
      <c r="J200" s="75"/>
      <c r="M200" s="144"/>
      <c r="N200" s="85"/>
      <c r="O200" s="144"/>
      <c r="P200" s="85"/>
    </row>
    <row r="201" spans="1:16" ht="24" hidden="1">
      <c r="A201" s="73" t="s">
        <v>216</v>
      </c>
      <c r="B201" s="76">
        <v>19</v>
      </c>
      <c r="C201" s="75"/>
      <c r="D201" s="79"/>
      <c r="E201" s="1">
        <v>0</v>
      </c>
      <c r="F201" s="79"/>
      <c r="G201" s="62"/>
      <c r="H201" s="77"/>
      <c r="I201" s="113">
        <v>0</v>
      </c>
      <c r="J201" s="75"/>
      <c r="M201" s="144"/>
      <c r="N201" s="85"/>
      <c r="O201" s="144"/>
      <c r="P201" s="85"/>
    </row>
    <row r="202" spans="1:16" ht="24">
      <c r="A202" s="73" t="s">
        <v>33</v>
      </c>
      <c r="B202" s="76"/>
      <c r="C202" s="75">
        <f>ROUND(26010713.0085816,0)</f>
        <v>26010713</v>
      </c>
      <c r="D202" s="77"/>
      <c r="E202" s="113">
        <v>10235237</v>
      </c>
      <c r="F202" s="80"/>
      <c r="G202" s="62">
        <f>ROUND(783890556.613541,0)</f>
        <v>783890557</v>
      </c>
      <c r="H202" s="77"/>
      <c r="I202" s="113">
        <v>320753420</v>
      </c>
      <c r="J202" s="75"/>
      <c r="M202" s="144"/>
      <c r="N202" s="85"/>
      <c r="O202" s="144"/>
      <c r="P202" s="85"/>
    </row>
    <row r="203" spans="1:16" ht="24">
      <c r="A203" s="73" t="s">
        <v>141</v>
      </c>
      <c r="B203" s="76"/>
      <c r="C203" s="75">
        <f>ROUND(4047940.5857498,0)</f>
        <v>4047941</v>
      </c>
      <c r="D203" s="77"/>
      <c r="E203" s="1">
        <v>0</v>
      </c>
      <c r="F203" s="80"/>
      <c r="G203" s="62">
        <f>ROUND(109372795.860449,0)</f>
        <v>109372796</v>
      </c>
      <c r="H203" s="77"/>
      <c r="I203" s="113">
        <v>0</v>
      </c>
      <c r="J203" s="75"/>
      <c r="M203" s="144"/>
      <c r="N203" s="85"/>
      <c r="O203" s="144"/>
      <c r="P203" s="85"/>
    </row>
    <row r="204" spans="1:16" ht="24">
      <c r="A204" s="73" t="s">
        <v>34</v>
      </c>
      <c r="B204" s="76"/>
      <c r="C204" s="75">
        <f>ROUND(45212931.4133791,0)</f>
        <v>45212931</v>
      </c>
      <c r="D204" s="77"/>
      <c r="E204" s="1">
        <v>109464452</v>
      </c>
      <c r="F204" s="79"/>
      <c r="G204" s="62">
        <f>ROUND(1372806017.93941,0)</f>
        <v>1372806018</v>
      </c>
      <c r="H204" s="77"/>
      <c r="I204" s="113">
        <v>3416121175</v>
      </c>
      <c r="J204" s="75"/>
      <c r="M204" s="144"/>
      <c r="N204" s="85"/>
      <c r="O204" s="144"/>
      <c r="P204" s="85"/>
    </row>
    <row r="205" spans="1:16" ht="24" hidden="1">
      <c r="A205" s="73" t="s">
        <v>84</v>
      </c>
      <c r="B205" s="76"/>
      <c r="C205" s="304">
        <f>0</f>
        <v>0</v>
      </c>
      <c r="D205" s="79"/>
      <c r="E205" s="209">
        <v>0</v>
      </c>
      <c r="F205" s="79"/>
      <c r="G205" s="62">
        <v>0</v>
      </c>
      <c r="H205" s="77"/>
      <c r="I205" s="113">
        <v>0</v>
      </c>
      <c r="M205" s="144"/>
      <c r="N205" s="85"/>
      <c r="O205" s="144"/>
      <c r="P205" s="85"/>
    </row>
    <row r="206" spans="1:16" ht="24">
      <c r="A206" s="73" t="s">
        <v>204</v>
      </c>
      <c r="B206" s="76"/>
      <c r="C206" s="120">
        <f>SUM(C198:C205)</f>
        <v>5544384384</v>
      </c>
      <c r="D206" s="98"/>
      <c r="E206" s="120">
        <f>SUM(E198:E205)</f>
        <v>5080608106</v>
      </c>
      <c r="F206" s="99"/>
      <c r="G206" s="120">
        <f>SUM(G198:G205)</f>
        <v>168448207827</v>
      </c>
      <c r="H206" s="77"/>
      <c r="I206" s="120">
        <f>SUM(I198:I205)</f>
        <v>158616525373</v>
      </c>
      <c r="M206" s="144"/>
      <c r="N206" s="85"/>
      <c r="O206" s="144"/>
      <c r="P206" s="85"/>
    </row>
    <row r="207" spans="1:16" ht="24">
      <c r="A207" s="51" t="s">
        <v>35</v>
      </c>
      <c r="B207" s="76"/>
      <c r="C207" s="62"/>
      <c r="D207" s="77"/>
      <c r="E207" s="62"/>
      <c r="F207" s="79"/>
      <c r="G207" s="75"/>
      <c r="H207" s="77"/>
      <c r="I207" s="75"/>
      <c r="M207" s="144"/>
      <c r="N207" s="85"/>
      <c r="O207" s="144"/>
      <c r="P207" s="85"/>
    </row>
    <row r="208" spans="1:16" ht="24">
      <c r="A208" s="73" t="s">
        <v>79</v>
      </c>
      <c r="B208" s="76"/>
      <c r="C208" s="75">
        <f>ROUND(600936792.719016,0)</f>
        <v>600936793</v>
      </c>
      <c r="D208" s="77"/>
      <c r="E208" s="113">
        <f>487534589+1-1</f>
        <v>487534589</v>
      </c>
      <c r="F208" s="79"/>
      <c r="G208" s="62">
        <f>ROUND(18294553830.1626,0)</f>
        <v>18294553830</v>
      </c>
      <c r="H208" s="77"/>
      <c r="I208" s="113">
        <v>15207325966</v>
      </c>
      <c r="J208" s="75"/>
      <c r="M208" s="144"/>
      <c r="N208" s="85"/>
      <c r="O208" s="144"/>
      <c r="P208" s="85"/>
    </row>
    <row r="209" spans="1:16" ht="24">
      <c r="A209" s="73" t="s">
        <v>85</v>
      </c>
      <c r="B209" s="76"/>
      <c r="C209" s="75">
        <f>ROUND(115278882.911623,0)</f>
        <v>115278883</v>
      </c>
      <c r="D209" s="77"/>
      <c r="E209" s="113">
        <f>121436725+22911105</f>
        <v>144347830</v>
      </c>
      <c r="F209" s="79"/>
      <c r="G209" s="62">
        <f>ROUND(3538001836.53284-383065.9,0)</f>
        <v>3537618771</v>
      </c>
      <c r="H209" s="77"/>
      <c r="I209" s="113">
        <f>3812943453+710923496</f>
        <v>4523866949</v>
      </c>
      <c r="J209" s="75"/>
      <c r="M209" s="144"/>
      <c r="N209" s="85"/>
      <c r="O209" s="144"/>
      <c r="P209" s="85"/>
    </row>
    <row r="210" spans="1:16" ht="24">
      <c r="A210" s="73" t="s">
        <v>95</v>
      </c>
      <c r="B210" s="76"/>
      <c r="C210" s="75">
        <f>ROUND(190043126.014242,0)</f>
        <v>190043126</v>
      </c>
      <c r="D210" s="77"/>
      <c r="E210" s="113">
        <f>195311474-ROUND(1931124.7,0)+9561351</f>
        <v>202941700</v>
      </c>
      <c r="F210" s="79"/>
      <c r="G210" s="62">
        <f>ROUND(5854943737.41121-79248767.93,0)</f>
        <v>5775694969</v>
      </c>
      <c r="H210" s="77"/>
      <c r="I210" s="113">
        <f>6092954773-ROUND(60261631.78,0)+296391354</f>
        <v>6329084495</v>
      </c>
      <c r="J210" s="75"/>
      <c r="M210" s="144"/>
      <c r="N210" s="85"/>
      <c r="O210" s="144"/>
      <c r="P210" s="85"/>
    </row>
    <row r="211" spans="1:16" ht="24">
      <c r="A211" s="73" t="s">
        <v>80</v>
      </c>
      <c r="B211" s="76">
        <v>20</v>
      </c>
      <c r="C211" s="75">
        <f>ROUND(614355694.930005,0)</f>
        <v>614355695</v>
      </c>
      <c r="D211" s="77"/>
      <c r="E211" s="113">
        <v>574059952</v>
      </c>
      <c r="F211" s="79"/>
      <c r="G211" s="62">
        <f>ROUND(18660221912.5416,0)</f>
        <v>18660221913</v>
      </c>
      <c r="H211" s="77"/>
      <c r="I211" s="113">
        <v>17922117229</v>
      </c>
      <c r="J211" s="75"/>
      <c r="M211" s="144"/>
      <c r="N211" s="85"/>
      <c r="O211" s="144"/>
      <c r="P211" s="85"/>
    </row>
    <row r="212" spans="1:16" ht="24">
      <c r="A212" s="73" t="s">
        <v>86</v>
      </c>
      <c r="B212" s="76"/>
      <c r="C212" s="75">
        <f>ROUND(1177229152.37049,0)</f>
        <v>1177229152</v>
      </c>
      <c r="D212" s="77"/>
      <c r="E212" s="113">
        <v>1014753233</v>
      </c>
      <c r="F212" s="79"/>
      <c r="G212" s="62">
        <f>ROUND(35765518269.3597,0)</f>
        <v>35765518269</v>
      </c>
      <c r="H212" s="77"/>
      <c r="I212" s="113">
        <v>31673917262</v>
      </c>
      <c r="J212" s="75"/>
      <c r="M212" s="144"/>
      <c r="N212" s="85"/>
      <c r="O212" s="144"/>
      <c r="P212" s="85"/>
    </row>
    <row r="213" spans="1:16" ht="24">
      <c r="A213" s="73" t="s">
        <v>36</v>
      </c>
      <c r="B213" s="76"/>
      <c r="C213" s="62"/>
      <c r="D213" s="77"/>
      <c r="E213" s="113"/>
      <c r="F213" s="79"/>
      <c r="G213" s="62"/>
      <c r="H213" s="77"/>
      <c r="I213" s="113"/>
      <c r="J213" s="75"/>
      <c r="M213" s="144"/>
      <c r="N213" s="85"/>
      <c r="O213" s="144"/>
      <c r="P213" s="85"/>
    </row>
    <row r="214" spans="1:16" ht="24">
      <c r="A214" s="73" t="s">
        <v>221</v>
      </c>
      <c r="B214" s="76">
        <v>19</v>
      </c>
      <c r="C214" s="62">
        <f>ROUND(25842764.1992484,0)</f>
        <v>25842764</v>
      </c>
      <c r="D214" s="77"/>
      <c r="E214" s="113">
        <f>21801456+318644</f>
        <v>22120100</v>
      </c>
      <c r="F214" s="79"/>
      <c r="G214" s="62">
        <f>ROUND(797089440.896057+247239.7044363,0)+1</f>
        <v>797336682</v>
      </c>
      <c r="H214" s="77"/>
      <c r="I214" s="113">
        <f>661614537+9877616</f>
        <v>671492153</v>
      </c>
      <c r="J214" s="75"/>
      <c r="M214" s="144"/>
      <c r="N214" s="85"/>
      <c r="O214" s="144"/>
      <c r="P214" s="85"/>
    </row>
    <row r="215" spans="1:16" ht="24" hidden="1">
      <c r="A215" s="73" t="s">
        <v>110</v>
      </c>
      <c r="B215" s="76"/>
      <c r="C215" s="100"/>
      <c r="D215" s="77"/>
      <c r="E215" s="1">
        <v>0</v>
      </c>
      <c r="F215" s="79"/>
      <c r="G215" s="62"/>
      <c r="H215" s="77"/>
      <c r="I215" s="1">
        <v>0</v>
      </c>
      <c r="J215" s="75"/>
      <c r="M215" s="144"/>
      <c r="N215" s="85"/>
      <c r="O215" s="144"/>
      <c r="P215" s="85"/>
    </row>
    <row r="216" spans="1:16" ht="24">
      <c r="A216" s="73" t="s">
        <v>217</v>
      </c>
      <c r="B216" s="76"/>
      <c r="C216" s="75">
        <v>0</v>
      </c>
      <c r="D216" s="77"/>
      <c r="E216" s="113">
        <f>26573197-339936</f>
        <v>26233261</v>
      </c>
      <c r="F216" s="79"/>
      <c r="G216" s="100">
        <v>0</v>
      </c>
      <c r="H216" s="77"/>
      <c r="I216" s="113">
        <f>823868907-10537632</f>
        <v>813331275</v>
      </c>
      <c r="M216" s="144"/>
      <c r="N216" s="85"/>
      <c r="O216" s="144"/>
      <c r="P216" s="85"/>
    </row>
    <row r="217" spans="1:16" ht="24">
      <c r="A217" s="73" t="s">
        <v>96</v>
      </c>
      <c r="B217" s="76">
        <v>9.1</v>
      </c>
      <c r="C217" s="75">
        <f>ROUND(4687963.10011634,0)</f>
        <v>4687963</v>
      </c>
      <c r="D217" s="77"/>
      <c r="E217" s="1">
        <f>1405819+ROUND(1931124.7,0)</f>
        <v>3336944</v>
      </c>
      <c r="F217" s="79"/>
      <c r="G217" s="62">
        <f>ROUND(61375510.3006453+79248767.93,0)</f>
        <v>140624278</v>
      </c>
      <c r="H217" s="77"/>
      <c r="I217" s="113">
        <f>43875891+ROUND(60261631.78,0)</f>
        <v>104137523</v>
      </c>
      <c r="M217" s="144"/>
      <c r="N217" s="85"/>
      <c r="O217" s="144"/>
      <c r="P217" s="85"/>
    </row>
    <row r="218" spans="1:16" ht="24">
      <c r="A218" s="73" t="s">
        <v>166</v>
      </c>
      <c r="B218" s="76"/>
      <c r="C218" s="62">
        <v>0</v>
      </c>
      <c r="D218" s="77"/>
      <c r="E218" s="1">
        <f>132078228-22911105</f>
        <v>109167123</v>
      </c>
      <c r="F218" s="79"/>
      <c r="G218" s="62">
        <v>0</v>
      </c>
      <c r="H218" s="77"/>
      <c r="I218" s="113">
        <f>4166051777-710923496</f>
        <v>3455128281</v>
      </c>
      <c r="M218" s="144"/>
      <c r="N218" s="85"/>
      <c r="O218" s="144"/>
      <c r="P218" s="85"/>
    </row>
    <row r="219" spans="1:16" ht="24">
      <c r="A219" s="73" t="s">
        <v>150</v>
      </c>
      <c r="B219" s="76"/>
      <c r="C219" s="93">
        <f>ROUND(138990645.742771,0)</f>
        <v>138990646</v>
      </c>
      <c r="D219" s="77"/>
      <c r="E219" s="1">
        <v>127531443</v>
      </c>
      <c r="F219" s="79"/>
      <c r="G219" s="101">
        <f>ROUND(4220343156.73412,0)</f>
        <v>4220343157</v>
      </c>
      <c r="H219" s="77"/>
      <c r="I219" s="4">
        <v>3988003098</v>
      </c>
      <c r="M219" s="144"/>
      <c r="N219" s="85"/>
      <c r="O219" s="144"/>
      <c r="P219" s="85"/>
    </row>
    <row r="220" spans="1:16" ht="24">
      <c r="A220" s="73" t="s">
        <v>205</v>
      </c>
      <c r="B220" s="76"/>
      <c r="C220" s="137">
        <f>SUM(C208:C219)</f>
        <v>2867365022</v>
      </c>
      <c r="D220" s="98"/>
      <c r="E220" s="137">
        <f>SUM(E208:E219)</f>
        <v>2712026175</v>
      </c>
      <c r="F220" s="99"/>
      <c r="G220" s="137">
        <f>SUM(G208:G219)</f>
        <v>87191911869</v>
      </c>
      <c r="H220" s="98"/>
      <c r="I220" s="137">
        <f>SUM(I208:I219)</f>
        <v>84688404231</v>
      </c>
      <c r="M220" s="149"/>
      <c r="N220" s="85"/>
      <c r="O220" s="144"/>
      <c r="P220" s="85"/>
    </row>
    <row r="221" spans="1:17" ht="24">
      <c r="A221" s="73" t="s">
        <v>144</v>
      </c>
      <c r="B221" s="76"/>
      <c r="C221" s="81">
        <f>ROUND(5170468.96,0)</f>
        <v>5170469</v>
      </c>
      <c r="D221" s="77"/>
      <c r="E221" s="114">
        <v>4155179</v>
      </c>
      <c r="F221" s="79"/>
      <c r="G221" s="81">
        <f>ROUND(158801539.032933,0)</f>
        <v>158801539</v>
      </c>
      <c r="H221" s="77"/>
      <c r="I221" s="114">
        <v>129364839</v>
      </c>
      <c r="M221" s="161"/>
      <c r="N221" s="85"/>
      <c r="O221" s="144"/>
      <c r="P221" s="85"/>
      <c r="Q221" s="75"/>
    </row>
    <row r="222" spans="1:17" s="51" customFormat="1" ht="24">
      <c r="A222" s="51" t="s">
        <v>94</v>
      </c>
      <c r="B222" s="102"/>
      <c r="C222" s="117">
        <f>+C206-C220+C221</f>
        <v>2682189831</v>
      </c>
      <c r="D222" s="98"/>
      <c r="E222" s="117">
        <f>+E206-E220+E221</f>
        <v>2372737110</v>
      </c>
      <c r="F222" s="99"/>
      <c r="G222" s="117">
        <f>+G206-G220+G221</f>
        <v>81415097497</v>
      </c>
      <c r="H222" s="98"/>
      <c r="I222" s="117">
        <f>+I206-I220+I221</f>
        <v>74057485981</v>
      </c>
      <c r="L222" s="74"/>
      <c r="M222" s="161"/>
      <c r="N222" s="75"/>
      <c r="O222" s="145"/>
      <c r="P222" s="85"/>
      <c r="Q222" s="75"/>
    </row>
    <row r="223" spans="1:17" ht="24">
      <c r="A223" s="73" t="s">
        <v>156</v>
      </c>
      <c r="B223" s="76"/>
      <c r="C223" s="81">
        <f>ROUND(-1074812194.3807,0)</f>
        <v>-1074812194</v>
      </c>
      <c r="D223" s="85"/>
      <c r="E223" s="114">
        <v>-975734201</v>
      </c>
      <c r="F223" s="79"/>
      <c r="G223" s="62">
        <f>ROUND(-32687726332.009,0)</f>
        <v>-32687726332</v>
      </c>
      <c r="H223" s="85"/>
      <c r="I223" s="113">
        <v>-30509905634</v>
      </c>
      <c r="J223" s="75"/>
      <c r="M223" s="161"/>
      <c r="N223" s="75"/>
      <c r="O223" s="144"/>
      <c r="P223" s="85"/>
      <c r="Q223" s="75"/>
    </row>
    <row r="224" spans="1:17" ht="24.75" thickBot="1">
      <c r="A224" s="51" t="s">
        <v>148</v>
      </c>
      <c r="B224" s="76"/>
      <c r="C224" s="118">
        <f>SUM(C222:C223)</f>
        <v>1607377637</v>
      </c>
      <c r="D224" s="86"/>
      <c r="E224" s="118">
        <f>SUM(E222:E223)</f>
        <v>1397002909</v>
      </c>
      <c r="F224" s="86"/>
      <c r="G224" s="118">
        <f>SUM(G222:G223)</f>
        <v>48727371165</v>
      </c>
      <c r="H224" s="86"/>
      <c r="I224" s="118">
        <f>SUM(I222:I223)</f>
        <v>43547580347</v>
      </c>
      <c r="M224" s="161"/>
      <c r="N224" s="75"/>
      <c r="O224" s="144"/>
      <c r="P224" s="85"/>
      <c r="Q224" s="75"/>
    </row>
    <row r="225" spans="1:16" ht="18" customHeight="1">
      <c r="A225" s="51"/>
      <c r="B225" s="76"/>
      <c r="C225" s="86"/>
      <c r="D225" s="77"/>
      <c r="E225" s="86"/>
      <c r="F225" s="103"/>
      <c r="G225" s="104"/>
      <c r="H225" s="103"/>
      <c r="I225" s="86"/>
      <c r="M225" s="144"/>
      <c r="N225" s="144"/>
      <c r="O225" s="144"/>
      <c r="P225" s="144"/>
    </row>
    <row r="226" spans="1:16" ht="24">
      <c r="A226" s="51" t="s">
        <v>44</v>
      </c>
      <c r="B226" s="131">
        <v>21</v>
      </c>
      <c r="C226" s="96"/>
      <c r="D226" s="105"/>
      <c r="E226" s="105"/>
      <c r="F226" s="106"/>
      <c r="G226" s="96"/>
      <c r="H226" s="105"/>
      <c r="I226" s="66"/>
      <c r="M226" s="144"/>
      <c r="N226" s="144"/>
      <c r="O226" s="144"/>
      <c r="P226" s="144"/>
    </row>
    <row r="227" spans="1:16" ht="9" customHeight="1">
      <c r="A227" s="51"/>
      <c r="C227" s="106"/>
      <c r="D227" s="106"/>
      <c r="E227" s="106"/>
      <c r="F227" s="106"/>
      <c r="G227" s="66"/>
      <c r="H227" s="106"/>
      <c r="I227" s="66"/>
      <c r="M227" s="144"/>
      <c r="N227" s="144"/>
      <c r="O227" s="144"/>
      <c r="P227" s="144"/>
    </row>
    <row r="228" spans="1:16" ht="26.25" customHeight="1">
      <c r="A228" s="73" t="s">
        <v>37</v>
      </c>
      <c r="C228" s="107">
        <f>(C224+Equity_Change_Conso!N41)/G98</f>
        <v>0.4030888708054191</v>
      </c>
      <c r="D228" s="107"/>
      <c r="E228" s="121">
        <f>(E224+Equity_Change_Conso!N20)/3319985400</f>
        <v>0.42006923343699043</v>
      </c>
      <c r="F228" s="107"/>
      <c r="G228" s="107">
        <f>(G224+Equity_Change_Conso!N87)/G98</f>
        <v>12.218956565684095</v>
      </c>
      <c r="H228" s="107"/>
      <c r="I228" s="121">
        <f>(I224+Equity_Change_Conso!N67)/3319985400</f>
        <v>13.094584135520597</v>
      </c>
      <c r="M228" s="144"/>
      <c r="N228" s="144"/>
      <c r="O228" s="144"/>
      <c r="P228" s="144"/>
    </row>
    <row r="229" spans="1:16" ht="26.25" customHeight="1">
      <c r="A229" s="73" t="s">
        <v>72</v>
      </c>
      <c r="C229" s="107">
        <f>(C224+Equity_Change_Conso!N41)/G98</f>
        <v>0.4030888708054191</v>
      </c>
      <c r="D229" s="107"/>
      <c r="E229" s="121">
        <f>(E224+Equity_Change_Conso!N20)/3319985400</f>
        <v>0.42006923343699043</v>
      </c>
      <c r="F229" s="107"/>
      <c r="G229" s="107">
        <f>(G224+Equity_Change_Conso!N87)/G98</f>
        <v>12.218956565684095</v>
      </c>
      <c r="H229" s="107"/>
      <c r="I229" s="121">
        <f>(I224+Equity_Change_Conso!N67)/3319985400</f>
        <v>13.094584135520597</v>
      </c>
      <c r="M229" s="144"/>
      <c r="N229" s="144"/>
      <c r="O229" s="144"/>
      <c r="P229" s="144"/>
    </row>
    <row r="230" spans="3:16" ht="24">
      <c r="C230" s="105"/>
      <c r="D230" s="105"/>
      <c r="E230" s="105"/>
      <c r="F230" s="106"/>
      <c r="G230" s="108"/>
      <c r="H230" s="105"/>
      <c r="I230" s="66"/>
      <c r="M230" s="144"/>
      <c r="N230" s="144"/>
      <c r="O230" s="144"/>
      <c r="P230" s="144"/>
    </row>
    <row r="231" spans="1:16" ht="24">
      <c r="A231" s="75" t="str">
        <f>A184</f>
        <v>หมายเหตุประกอบข้อมูลทางการเงินระหว่างกาลเป็นส่วนหนึ่งของข้อมูลทางการเงินนี้       </v>
      </c>
      <c r="C231" s="105"/>
      <c r="D231" s="105"/>
      <c r="E231" s="105"/>
      <c r="F231" s="106"/>
      <c r="G231" s="66"/>
      <c r="H231" s="105"/>
      <c r="I231" s="66"/>
      <c r="M231" s="144"/>
      <c r="N231" s="144"/>
      <c r="O231" s="144"/>
      <c r="P231" s="144"/>
    </row>
    <row r="232" spans="13:16" ht="24">
      <c r="M232" s="144"/>
      <c r="N232" s="144"/>
      <c r="O232" s="144"/>
      <c r="P232" s="144"/>
    </row>
    <row r="233" spans="1:16" s="51" customFormat="1" ht="24.75" customHeight="1">
      <c r="A233" s="332">
        <v>10</v>
      </c>
      <c r="B233" s="332"/>
      <c r="C233" s="332"/>
      <c r="D233" s="332"/>
      <c r="E233" s="332"/>
      <c r="F233" s="332"/>
      <c r="G233" s="332"/>
      <c r="H233" s="332"/>
      <c r="I233" s="332"/>
      <c r="L233" s="74"/>
      <c r="M233" s="145"/>
      <c r="N233" s="145"/>
      <c r="O233" s="145"/>
      <c r="P233" s="145"/>
    </row>
    <row r="234" spans="1:16" s="51" customFormat="1" ht="24.75" customHeight="1">
      <c r="A234" s="131"/>
      <c r="B234" s="131"/>
      <c r="C234" s="131"/>
      <c r="D234" s="131"/>
      <c r="E234" s="131"/>
      <c r="F234" s="131"/>
      <c r="G234" s="131"/>
      <c r="H234" s="131"/>
      <c r="I234" s="97" t="s">
        <v>113</v>
      </c>
      <c r="L234" s="74"/>
      <c r="M234" s="145"/>
      <c r="N234" s="145"/>
      <c r="O234" s="145"/>
      <c r="P234" s="145"/>
    </row>
    <row r="235" spans="1:16" s="51" customFormat="1" ht="24.75" customHeight="1">
      <c r="A235" s="131"/>
      <c r="B235" s="131"/>
      <c r="C235" s="131"/>
      <c r="D235" s="131"/>
      <c r="E235" s="131"/>
      <c r="F235" s="131"/>
      <c r="G235" s="131"/>
      <c r="H235" s="131"/>
      <c r="I235" s="97" t="s">
        <v>114</v>
      </c>
      <c r="L235" s="74"/>
      <c r="M235" s="145"/>
      <c r="N235" s="145"/>
      <c r="O235" s="145"/>
      <c r="P235" s="145"/>
    </row>
    <row r="236" spans="1:16" s="51" customFormat="1" ht="21.75" customHeight="1">
      <c r="A236" s="330" t="s">
        <v>4</v>
      </c>
      <c r="B236" s="330"/>
      <c r="C236" s="330"/>
      <c r="D236" s="330"/>
      <c r="E236" s="330"/>
      <c r="F236" s="330"/>
      <c r="G236" s="330"/>
      <c r="H236" s="330"/>
      <c r="I236" s="330"/>
      <c r="L236" s="74"/>
      <c r="M236" s="145"/>
      <c r="N236" s="145"/>
      <c r="O236" s="145"/>
      <c r="P236" s="145"/>
    </row>
    <row r="237" spans="1:16" s="51" customFormat="1" ht="24.75" customHeight="1">
      <c r="A237" s="330" t="s">
        <v>115</v>
      </c>
      <c r="B237" s="330"/>
      <c r="C237" s="330"/>
      <c r="D237" s="330"/>
      <c r="E237" s="330"/>
      <c r="F237" s="330"/>
      <c r="G237" s="330"/>
      <c r="H237" s="330"/>
      <c r="I237" s="330"/>
      <c r="L237" s="74"/>
      <c r="M237" s="145"/>
      <c r="N237" s="145"/>
      <c r="O237" s="145"/>
      <c r="P237" s="145"/>
    </row>
    <row r="238" spans="1:16" s="51" customFormat="1" ht="24">
      <c r="A238" s="330" t="str">
        <f>+A190</f>
        <v>สำหรับงวดเก้าเดือนสิ้นสุดวันที่ 30 กันยายน 2556</v>
      </c>
      <c r="B238" s="330"/>
      <c r="C238" s="330"/>
      <c r="D238" s="330"/>
      <c r="E238" s="330"/>
      <c r="F238" s="330"/>
      <c r="G238" s="330"/>
      <c r="H238" s="330"/>
      <c r="I238" s="330"/>
      <c r="L238" s="74"/>
      <c r="M238" s="145"/>
      <c r="N238" s="145"/>
      <c r="O238" s="145"/>
      <c r="P238" s="145"/>
    </row>
    <row r="239" spans="1:16" s="51" customFormat="1" ht="24.75" customHeight="1">
      <c r="A239" s="330" t="s">
        <v>147</v>
      </c>
      <c r="B239" s="330"/>
      <c r="C239" s="330"/>
      <c r="D239" s="330"/>
      <c r="E239" s="330"/>
      <c r="F239" s="330"/>
      <c r="G239" s="330"/>
      <c r="H239" s="330"/>
      <c r="I239" s="330"/>
      <c r="L239" s="74"/>
      <c r="M239" s="145"/>
      <c r="N239" s="145"/>
      <c r="O239" s="145"/>
      <c r="P239" s="145"/>
    </row>
    <row r="240" spans="1:16" s="51" customFormat="1" ht="24.75" customHeight="1">
      <c r="A240" s="331"/>
      <c r="B240" s="331"/>
      <c r="C240" s="331"/>
      <c r="D240" s="331"/>
      <c r="E240" s="331"/>
      <c r="F240" s="331"/>
      <c r="G240" s="331"/>
      <c r="H240" s="331"/>
      <c r="I240" s="331"/>
      <c r="L240" s="74"/>
      <c r="M240" s="145"/>
      <c r="N240" s="145"/>
      <c r="O240" s="145"/>
      <c r="P240" s="145"/>
    </row>
    <row r="241" spans="3:16" s="54" customFormat="1" ht="21" customHeight="1">
      <c r="C241" s="330" t="s">
        <v>128</v>
      </c>
      <c r="D241" s="330"/>
      <c r="E241" s="330"/>
      <c r="G241" s="330" t="s">
        <v>67</v>
      </c>
      <c r="H241" s="330"/>
      <c r="I241" s="330"/>
      <c r="L241" s="74"/>
      <c r="M241" s="146"/>
      <c r="N241" s="146"/>
      <c r="O241" s="146"/>
      <c r="P241" s="146"/>
    </row>
    <row r="242" spans="3:16" s="54" customFormat="1" ht="10.5" customHeight="1">
      <c r="C242" s="307"/>
      <c r="D242" s="307"/>
      <c r="E242" s="307"/>
      <c r="G242" s="307"/>
      <c r="H242" s="307"/>
      <c r="I242" s="307"/>
      <c r="L242" s="74"/>
      <c r="M242" s="146"/>
      <c r="N242" s="146"/>
      <c r="O242" s="146"/>
      <c r="P242" s="146"/>
    </row>
    <row r="243" spans="3:16" s="70" customFormat="1" ht="21" customHeight="1">
      <c r="C243" s="71">
        <v>2556</v>
      </c>
      <c r="E243" s="71">
        <v>2555</v>
      </c>
      <c r="G243" s="71">
        <v>2556</v>
      </c>
      <c r="I243" s="71">
        <v>2555</v>
      </c>
      <c r="L243" s="74"/>
      <c r="M243" s="147"/>
      <c r="N243" s="147"/>
      <c r="O243" s="147"/>
      <c r="P243" s="147"/>
    </row>
    <row r="244" spans="3:16" s="70" customFormat="1" ht="21" customHeight="1">
      <c r="C244" s="307"/>
      <c r="D244" s="307"/>
      <c r="E244" s="307"/>
      <c r="F244" s="307"/>
      <c r="G244" s="307"/>
      <c r="H244" s="307"/>
      <c r="I244" s="307"/>
      <c r="L244" s="74"/>
      <c r="M244" s="147"/>
      <c r="N244" s="147"/>
      <c r="O244" s="147"/>
      <c r="P244" s="147"/>
    </row>
    <row r="245" spans="3:16" s="70" customFormat="1" ht="18" customHeight="1">
      <c r="C245" s="109"/>
      <c r="E245" s="109"/>
      <c r="G245" s="109"/>
      <c r="I245" s="102"/>
      <c r="L245" s="74"/>
      <c r="M245" s="147"/>
      <c r="N245" s="147"/>
      <c r="O245" s="147"/>
      <c r="P245" s="147"/>
    </row>
    <row r="246" spans="1:16" ht="24">
      <c r="A246" s="51" t="s">
        <v>148</v>
      </c>
      <c r="C246" s="82">
        <f>C224</f>
        <v>1607377637</v>
      </c>
      <c r="D246" s="51"/>
      <c r="E246" s="119">
        <f>E224</f>
        <v>1397002909</v>
      </c>
      <c r="F246" s="51"/>
      <c r="G246" s="82">
        <f>G224</f>
        <v>48727371165</v>
      </c>
      <c r="H246" s="51"/>
      <c r="I246" s="82">
        <f>I224</f>
        <v>43547580347</v>
      </c>
      <c r="M246" s="149"/>
      <c r="N246" s="144"/>
      <c r="O246" s="85"/>
      <c r="P246" s="144"/>
    </row>
    <row r="247" spans="1:15" ht="24">
      <c r="A247" s="51" t="s">
        <v>167</v>
      </c>
      <c r="C247" s="75"/>
      <c r="E247" s="1"/>
      <c r="G247" s="75"/>
      <c r="I247" s="75"/>
      <c r="M247" s="149"/>
      <c r="O247" s="85"/>
    </row>
    <row r="248" spans="1:15" ht="24">
      <c r="A248" s="75" t="s">
        <v>117</v>
      </c>
      <c r="C248" s="75">
        <f>Equity_Change_Conso!P43</f>
        <v>-18407389</v>
      </c>
      <c r="E248" s="1">
        <v>33945654</v>
      </c>
      <c r="G248" s="75">
        <f>Equity_Change_Conso!P89</f>
        <v>8544770452</v>
      </c>
      <c r="I248" s="1">
        <v>-5008824158</v>
      </c>
      <c r="L248" s="75"/>
      <c r="M248" s="149"/>
      <c r="O248" s="85"/>
    </row>
    <row r="249" spans="1:15" ht="24">
      <c r="A249" s="75" t="s">
        <v>209</v>
      </c>
      <c r="C249" s="75">
        <f>Equity_Change_Conso!R43</f>
        <v>383551</v>
      </c>
      <c r="E249" s="1">
        <v>14134</v>
      </c>
      <c r="G249" s="75">
        <f>Equity_Change_Conso!R89</f>
        <v>11285907</v>
      </c>
      <c r="I249" s="1">
        <v>438142</v>
      </c>
      <c r="M249" s="149"/>
      <c r="O249" s="85"/>
    </row>
    <row r="250" spans="1:15" ht="24">
      <c r="A250" s="75" t="s">
        <v>210</v>
      </c>
      <c r="C250" s="75">
        <f>Equity_Change_Conso!T43</f>
        <v>16002291</v>
      </c>
      <c r="E250" s="1">
        <v>-29947457</v>
      </c>
      <c r="G250" s="75">
        <f>Equity_Change_Conso!T89</f>
        <v>491003306</v>
      </c>
      <c r="I250" s="1">
        <v>-927917322.02</v>
      </c>
      <c r="M250" s="149"/>
      <c r="O250" s="85"/>
    </row>
    <row r="251" spans="1:15" ht="24">
      <c r="A251" s="75" t="s">
        <v>149</v>
      </c>
      <c r="C251" s="75">
        <f>Equity_Change_Conso!V43</f>
        <v>-2715064</v>
      </c>
      <c r="E251" s="1">
        <v>5495233</v>
      </c>
      <c r="G251" s="75">
        <f>Equity_Change_Conso!V89</f>
        <v>-81982635</v>
      </c>
      <c r="I251" s="1">
        <v>168668463.02</v>
      </c>
      <c r="M251" s="149"/>
      <c r="O251" s="85"/>
    </row>
    <row r="252" spans="1:15" ht="24">
      <c r="A252" s="51" t="s">
        <v>132</v>
      </c>
      <c r="C252" s="116">
        <f>SUM(C248:C251)</f>
        <v>-4736611</v>
      </c>
      <c r="D252" s="51"/>
      <c r="E252" s="116">
        <f>SUM(E248:E251)</f>
        <v>9507564</v>
      </c>
      <c r="F252" s="51"/>
      <c r="G252" s="116">
        <f>SUM(G248:G251)</f>
        <v>8965077030</v>
      </c>
      <c r="H252" s="51"/>
      <c r="I252" s="116">
        <f>SUM(I248:I251)</f>
        <v>-5767634875</v>
      </c>
      <c r="M252" s="149"/>
      <c r="O252" s="85"/>
    </row>
    <row r="253" spans="1:15" ht="24.75" thickBot="1">
      <c r="A253" s="51" t="s">
        <v>131</v>
      </c>
      <c r="C253" s="328">
        <f>+C246+C252</f>
        <v>1602641026</v>
      </c>
      <c r="D253" s="51"/>
      <c r="E253" s="328">
        <f>+E246+E252</f>
        <v>1406510473</v>
      </c>
      <c r="F253" s="51"/>
      <c r="G253" s="328">
        <f>+G246+G252</f>
        <v>57692448195</v>
      </c>
      <c r="H253" s="51"/>
      <c r="I253" s="328">
        <f>I246+I252</f>
        <v>37779945472</v>
      </c>
      <c r="M253" s="149"/>
      <c r="O253" s="85"/>
    </row>
    <row r="254" spans="1:9" ht="24">
      <c r="A254" s="51"/>
      <c r="C254" s="111">
        <f>+C253-Equity_Change_Conso!Z43</f>
        <v>0</v>
      </c>
      <c r="D254" s="111">
        <f>+D253-Equity_Change_Conso!AA116</f>
        <v>0</v>
      </c>
      <c r="E254" s="111">
        <f>+E253-Equity_Change_Conso!Z22</f>
        <v>0</v>
      </c>
      <c r="F254" s="111">
        <f>+F253-Equity_Change_Conso!AC116</f>
        <v>0</v>
      </c>
      <c r="G254" s="111">
        <f>+G253-Equity_Change_Conso!Z89</f>
        <v>0</v>
      </c>
      <c r="H254" s="111">
        <f>+H253-Equity_Change_Conso!AE116</f>
        <v>0</v>
      </c>
      <c r="I254" s="111">
        <f>+I253-Equity_Change_Conso!Z69</f>
        <v>0</v>
      </c>
    </row>
    <row r="255" spans="3:9" ht="24">
      <c r="C255" s="111">
        <f>+C252-Equity_Change_Conso!X43</f>
        <v>0</v>
      </c>
      <c r="D255" s="111">
        <f>+D252-Equity_Change_Conso!Y116</f>
        <v>0</v>
      </c>
      <c r="E255" s="111">
        <f>+E252-Equity_Change_Conso!X22</f>
        <v>0</v>
      </c>
      <c r="F255" s="111">
        <f>+F252-Equity_Change_Conso!AA116</f>
        <v>0</v>
      </c>
      <c r="G255" s="111">
        <f>+G252-Equity_Change_Conso!X89</f>
        <v>0</v>
      </c>
      <c r="H255" s="111">
        <f>+H252-Equity_Change_Conso!AC116</f>
        <v>0</v>
      </c>
      <c r="I255" s="111">
        <f>+I252-Equity_Change_Conso!X69</f>
        <v>0</v>
      </c>
    </row>
    <row r="256" spans="1:9" ht="24">
      <c r="A256" s="75" t="str">
        <f>A231</f>
        <v>หมายเหตุประกอบข้อมูลทางการเงินระหว่างกาลเป็นส่วนหนึ่งของข้อมูลทางการเงินนี้       </v>
      </c>
      <c r="C256" s="96"/>
      <c r="D256" s="96"/>
      <c r="E256" s="96"/>
      <c r="F256" s="96"/>
      <c r="G256" s="96"/>
      <c r="H256" s="96"/>
      <c r="I256" s="96"/>
    </row>
  </sheetData>
  <sheetProtection/>
  <mergeCells count="54">
    <mergeCell ref="A185:I185"/>
    <mergeCell ref="A59:I59"/>
    <mergeCell ref="A168:I168"/>
    <mergeCell ref="C169:E169"/>
    <mergeCell ref="G169:I169"/>
    <mergeCell ref="C121:E121"/>
    <mergeCell ref="A161:I161"/>
    <mergeCell ref="A164:I164"/>
    <mergeCell ref="A165:I165"/>
    <mergeCell ref="A167:I167"/>
    <mergeCell ref="A166:I166"/>
    <mergeCell ref="G121:I121"/>
    <mergeCell ref="A50:C50"/>
    <mergeCell ref="E50:G50"/>
    <mergeCell ref="E51:G51"/>
    <mergeCell ref="A55:I55"/>
    <mergeCell ref="A120:I120"/>
    <mergeCell ref="A113:I113"/>
    <mergeCell ref="C62:E62"/>
    <mergeCell ref="G62:I62"/>
    <mergeCell ref="A51:C51"/>
    <mergeCell ref="A60:I60"/>
    <mergeCell ref="A119:I119"/>
    <mergeCell ref="A116:I116"/>
    <mergeCell ref="A117:I117"/>
    <mergeCell ref="A118:I118"/>
    <mergeCell ref="A57:I57"/>
    <mergeCell ref="A58:I58"/>
    <mergeCell ref="A1:I1"/>
    <mergeCell ref="G8:I8"/>
    <mergeCell ref="A3:I3"/>
    <mergeCell ref="E49:G49"/>
    <mergeCell ref="A4:I4"/>
    <mergeCell ref="A6:I6"/>
    <mergeCell ref="C2:E2"/>
    <mergeCell ref="G2:I2"/>
    <mergeCell ref="C8:E8"/>
    <mergeCell ref="A5:I5"/>
    <mergeCell ref="A49:C49"/>
    <mergeCell ref="A188:I188"/>
    <mergeCell ref="A189:I189"/>
    <mergeCell ref="A190:I190"/>
    <mergeCell ref="A191:I191"/>
    <mergeCell ref="A192:I192"/>
    <mergeCell ref="C193:E193"/>
    <mergeCell ref="G193:I193"/>
    <mergeCell ref="A233:I233"/>
    <mergeCell ref="A236:I236"/>
    <mergeCell ref="A237:I237"/>
    <mergeCell ref="A238:I238"/>
    <mergeCell ref="A239:I239"/>
    <mergeCell ref="A240:I240"/>
    <mergeCell ref="C241:E241"/>
    <mergeCell ref="G241:I241"/>
  </mergeCells>
  <printOptions/>
  <pageMargins left="0.7480314960629921" right="0.15748031496062992" top="0.3937007874015748" bottom="0.35433070866141736" header="0.2362204724409449" footer="0.11811023622047245"/>
  <pageSetup horizontalDpi="600" verticalDpi="600" orientation="portrait" paperSize="9" scale="64" r:id="rId1"/>
  <rowBreaks count="5" manualBreakCount="5">
    <brk id="54" max="255" man="1"/>
    <brk id="112" max="255" man="1"/>
    <brk id="160" max="9" man="1"/>
    <brk id="184" max="9" man="1"/>
    <brk id="23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P257"/>
  <sheetViews>
    <sheetView zoomScale="90" zoomScaleNormal="90" zoomScaleSheetLayoutView="85" zoomScalePageLayoutView="90" workbookViewId="0" topLeftCell="A1">
      <selection activeCell="L254" sqref="L254"/>
    </sheetView>
  </sheetViews>
  <sheetFormatPr defaultColWidth="9.140625" defaultRowHeight="21.75"/>
  <cols>
    <col min="1" max="1" width="59.57421875" style="169" customWidth="1"/>
    <col min="2" max="2" width="9.140625" style="169" customWidth="1"/>
    <col min="3" max="3" width="19.7109375" style="171" customWidth="1"/>
    <col min="4" max="4" width="1.8515625" style="169" customWidth="1"/>
    <col min="5" max="5" width="19.7109375" style="169" customWidth="1"/>
    <col min="6" max="6" width="1.8515625" style="169" customWidth="1"/>
    <col min="7" max="7" width="19.7109375" style="169" customWidth="1"/>
    <col min="8" max="8" width="1.8515625" style="169" customWidth="1"/>
    <col min="9" max="9" width="19.7109375" style="169" customWidth="1"/>
    <col min="10" max="10" width="2.8515625" style="169" customWidth="1"/>
    <col min="11" max="11" width="2.57421875" style="169" customWidth="1"/>
    <col min="12" max="12" width="16.421875" style="169" customWidth="1"/>
    <col min="13" max="13" width="18.421875" style="169" bestFit="1" customWidth="1"/>
    <col min="14" max="14" width="17.140625" style="169" bestFit="1" customWidth="1"/>
    <col min="15" max="15" width="20.140625" style="169" bestFit="1" customWidth="1"/>
    <col min="16" max="16384" width="9.140625" style="169" customWidth="1"/>
  </cols>
  <sheetData>
    <row r="1" spans="1:9" s="162" customFormat="1" ht="27.75">
      <c r="A1" s="337">
        <v>5</v>
      </c>
      <c r="B1" s="337"/>
      <c r="C1" s="337"/>
      <c r="D1" s="337"/>
      <c r="E1" s="337"/>
      <c r="F1" s="337"/>
      <c r="G1" s="337"/>
      <c r="H1" s="337"/>
      <c r="I1" s="337"/>
    </row>
    <row r="2" spans="1:9" s="162" customFormat="1" ht="34.5">
      <c r="A2" s="163"/>
      <c r="B2" s="163"/>
      <c r="C2" s="340"/>
      <c r="D2" s="340"/>
      <c r="E2" s="340"/>
      <c r="F2" s="163"/>
      <c r="G2" s="340"/>
      <c r="H2" s="340"/>
      <c r="I2" s="340"/>
    </row>
    <row r="3" spans="1:9" s="162" customFormat="1" ht="23.25">
      <c r="A3" s="336" t="s">
        <v>4</v>
      </c>
      <c r="B3" s="336"/>
      <c r="C3" s="336"/>
      <c r="D3" s="336"/>
      <c r="E3" s="336"/>
      <c r="F3" s="336"/>
      <c r="G3" s="336"/>
      <c r="H3" s="336"/>
      <c r="I3" s="336"/>
    </row>
    <row r="4" spans="1:9" s="162" customFormat="1" ht="23.25">
      <c r="A4" s="336" t="s">
        <v>125</v>
      </c>
      <c r="B4" s="336"/>
      <c r="C4" s="336"/>
      <c r="D4" s="336"/>
      <c r="E4" s="336"/>
      <c r="F4" s="336"/>
      <c r="G4" s="336"/>
      <c r="H4" s="336"/>
      <c r="I4" s="336"/>
    </row>
    <row r="5" spans="1:9" s="162" customFormat="1" ht="23.25">
      <c r="A5" s="339" t="s">
        <v>228</v>
      </c>
      <c r="B5" s="339"/>
      <c r="C5" s="339"/>
      <c r="D5" s="339"/>
      <c r="E5" s="339"/>
      <c r="F5" s="339"/>
      <c r="G5" s="339"/>
      <c r="H5" s="339"/>
      <c r="I5" s="339"/>
    </row>
    <row r="6" spans="1:9" s="162" customFormat="1" ht="23.25">
      <c r="A6" s="336" t="s">
        <v>238</v>
      </c>
      <c r="B6" s="336"/>
      <c r="C6" s="336"/>
      <c r="D6" s="336"/>
      <c r="E6" s="336"/>
      <c r="F6" s="336"/>
      <c r="G6" s="336"/>
      <c r="H6" s="336"/>
      <c r="I6" s="336"/>
    </row>
    <row r="7" s="162" customFormat="1" ht="23.25">
      <c r="C7" s="164"/>
    </row>
    <row r="8" spans="3:9" s="165" customFormat="1" ht="23.25">
      <c r="C8" s="336" t="s">
        <v>128</v>
      </c>
      <c r="D8" s="336"/>
      <c r="E8" s="336"/>
      <c r="G8" s="336" t="s">
        <v>67</v>
      </c>
      <c r="H8" s="336"/>
      <c r="I8" s="336"/>
    </row>
    <row r="9" spans="3:9" s="165" customFormat="1" ht="23.25">
      <c r="C9" s="317"/>
      <c r="D9" s="310"/>
      <c r="E9" s="310"/>
      <c r="G9" s="310"/>
      <c r="H9" s="310"/>
      <c r="I9" s="310"/>
    </row>
    <row r="10" spans="2:9" s="166" customFormat="1" ht="23.25">
      <c r="B10" s="166" t="s">
        <v>5</v>
      </c>
      <c r="C10" s="167" t="str">
        <f>'[1]FS-Conso'!C10</f>
        <v>30 กันยายน 2556</v>
      </c>
      <c r="E10" s="168" t="s">
        <v>158</v>
      </c>
      <c r="G10" s="168" t="str">
        <f>'[1]FS-Conso'!G10</f>
        <v>30 กันยายน 2556</v>
      </c>
      <c r="I10" s="168" t="s">
        <v>158</v>
      </c>
    </row>
    <row r="11" spans="3:9" s="166" customFormat="1" ht="24">
      <c r="C11" s="317" t="s">
        <v>113</v>
      </c>
      <c r="D11" s="169"/>
      <c r="E11" s="310" t="s">
        <v>135</v>
      </c>
      <c r="F11" s="310"/>
      <c r="G11" s="310" t="s">
        <v>113</v>
      </c>
      <c r="H11" s="169"/>
      <c r="I11" s="310" t="s">
        <v>135</v>
      </c>
    </row>
    <row r="12" spans="3:9" s="166" customFormat="1" ht="24">
      <c r="C12" s="317" t="s">
        <v>114</v>
      </c>
      <c r="D12" s="169"/>
      <c r="E12" s="310"/>
      <c r="F12" s="310"/>
      <c r="G12" s="310" t="s">
        <v>114</v>
      </c>
      <c r="H12" s="169"/>
      <c r="I12" s="310"/>
    </row>
    <row r="13" spans="1:7" ht="24">
      <c r="A13" s="166" t="s">
        <v>91</v>
      </c>
      <c r="C13" s="170"/>
      <c r="G13" s="166"/>
    </row>
    <row r="14" ht="24">
      <c r="A14" s="162" t="s">
        <v>6</v>
      </c>
    </row>
    <row r="15" spans="1:10" ht="24">
      <c r="A15" s="172" t="s">
        <v>45</v>
      </c>
      <c r="B15" s="173">
        <v>5</v>
      </c>
      <c r="C15" s="174">
        <f>ROUND(1696868669.61,0)</f>
        <v>1696868670</v>
      </c>
      <c r="D15" s="175"/>
      <c r="E15" s="176">
        <v>1732902915</v>
      </c>
      <c r="F15" s="175"/>
      <c r="G15" s="176">
        <f>ROUND(53265843486.4361,0)</f>
        <v>53265843486</v>
      </c>
      <c r="H15" s="175"/>
      <c r="I15" s="176">
        <v>53081588927</v>
      </c>
      <c r="J15" s="172"/>
    </row>
    <row r="16" spans="1:10" ht="24">
      <c r="A16" s="172" t="s">
        <v>151</v>
      </c>
      <c r="B16" s="173">
        <v>6</v>
      </c>
      <c r="C16" s="174">
        <f>ROUND(317561116.42+31612807.54,0)</f>
        <v>349173924</v>
      </c>
      <c r="D16" s="175"/>
      <c r="E16" s="176">
        <f>531808049+36073646</f>
        <v>567881695</v>
      </c>
      <c r="F16" s="177"/>
      <c r="G16" s="176">
        <f>ROUND(10960803223.1939,0)</f>
        <v>10960803223</v>
      </c>
      <c r="H16" s="175"/>
      <c r="I16" s="176">
        <f>16290131435+1104993503</f>
        <v>17395124938</v>
      </c>
      <c r="J16" s="172"/>
    </row>
    <row r="17" spans="1:10" ht="24">
      <c r="A17" s="172" t="s">
        <v>7</v>
      </c>
      <c r="B17" s="173">
        <v>7</v>
      </c>
      <c r="C17" s="174">
        <f>ROUND(3184503.16,0)</f>
        <v>3184503</v>
      </c>
      <c r="D17" s="175"/>
      <c r="E17" s="176">
        <f>2602211+1</f>
        <v>2602212</v>
      </c>
      <c r="F17" s="177"/>
      <c r="G17" s="176">
        <f>ROUND(99963686.0179681,0)</f>
        <v>99963686</v>
      </c>
      <c r="H17" s="175"/>
      <c r="I17" s="176">
        <f>79709900+1</f>
        <v>79709901</v>
      </c>
      <c r="J17" s="172"/>
    </row>
    <row r="18" spans="1:10" ht="24">
      <c r="A18" s="172" t="s">
        <v>140</v>
      </c>
      <c r="B18" s="173"/>
      <c r="C18" s="174">
        <f>ROUND(78901425.4203885-31612807.54,0)</f>
        <v>47288618</v>
      </c>
      <c r="D18" s="175"/>
      <c r="E18" s="176">
        <f>80804764-36073646</f>
        <v>44731118</v>
      </c>
      <c r="F18" s="178"/>
      <c r="G18" s="176">
        <f>ROUND(1484421372.03557,0)</f>
        <v>1484421372</v>
      </c>
      <c r="H18" s="175"/>
      <c r="I18" s="176">
        <f>2475179214-1104993503-1</f>
        <v>1370185710</v>
      </c>
      <c r="J18" s="172"/>
    </row>
    <row r="19" spans="1:10" ht="24">
      <c r="A19" s="172" t="s">
        <v>8</v>
      </c>
      <c r="B19" s="173"/>
      <c r="C19" s="174">
        <f>ROUND(5715370.77,0)</f>
        <v>5715371</v>
      </c>
      <c r="D19" s="175"/>
      <c r="E19" s="176">
        <v>3521222</v>
      </c>
      <c r="F19" s="178"/>
      <c r="G19" s="176">
        <f>ROUND(179409314.553342,0)</f>
        <v>179409315</v>
      </c>
      <c r="H19" s="175"/>
      <c r="I19" s="176">
        <v>107860674</v>
      </c>
      <c r="J19" s="172"/>
    </row>
    <row r="20" spans="1:10" ht="24">
      <c r="A20" s="172" t="s">
        <v>9</v>
      </c>
      <c r="B20" s="173"/>
      <c r="C20" s="179">
        <f>ROUND(114319278.93,0)</f>
        <v>114319279</v>
      </c>
      <c r="D20" s="175"/>
      <c r="E20" s="176">
        <v>111001416</v>
      </c>
      <c r="F20" s="177"/>
      <c r="G20" s="176">
        <f>ROUND(3588558695.21543,0)</f>
        <v>3588558695</v>
      </c>
      <c r="H20" s="175"/>
      <c r="I20" s="176">
        <v>3400150968</v>
      </c>
      <c r="J20" s="172"/>
    </row>
    <row r="21" spans="1:10" ht="24">
      <c r="A21" s="172" t="s">
        <v>10</v>
      </c>
      <c r="B21" s="173"/>
      <c r="C21" s="179"/>
      <c r="D21" s="175"/>
      <c r="F21" s="178"/>
      <c r="G21" s="312"/>
      <c r="H21" s="175"/>
      <c r="J21" s="172"/>
    </row>
    <row r="22" spans="1:10" ht="24">
      <c r="A22" s="172" t="s">
        <v>11</v>
      </c>
      <c r="B22" s="173"/>
      <c r="C22" s="174">
        <f>ROUND(3314646.01,0)</f>
        <v>3314646</v>
      </c>
      <c r="D22" s="175"/>
      <c r="E22" s="176">
        <v>3807823</v>
      </c>
      <c r="F22" s="178"/>
      <c r="G22" s="176">
        <f>ROUND(104048957.201961,0)</f>
        <v>104048957</v>
      </c>
      <c r="H22" s="175"/>
      <c r="I22" s="176">
        <v>116639712</v>
      </c>
      <c r="J22" s="172"/>
    </row>
    <row r="23" spans="1:10" ht="24">
      <c r="A23" s="172" t="s">
        <v>12</v>
      </c>
      <c r="B23" s="173"/>
      <c r="C23" s="174">
        <f>ROUND(24495846.57,0)</f>
        <v>24495847</v>
      </c>
      <c r="D23" s="175"/>
      <c r="E23" s="176">
        <v>8224205</v>
      </c>
      <c r="F23" s="180"/>
      <c r="G23" s="176">
        <f>ROUND(768941022.268541,0)</f>
        <v>768941022</v>
      </c>
      <c r="H23" s="175"/>
      <c r="I23" s="176">
        <v>251920560</v>
      </c>
      <c r="J23" s="172"/>
    </row>
    <row r="24" spans="1:10" ht="24">
      <c r="A24" s="172" t="s">
        <v>124</v>
      </c>
      <c r="B24" s="173">
        <v>15</v>
      </c>
      <c r="C24" s="174">
        <f>ROUND(1455930.37,0)</f>
        <v>1455930</v>
      </c>
      <c r="D24" s="175"/>
      <c r="E24" s="174">
        <v>0</v>
      </c>
      <c r="F24" s="180"/>
      <c r="G24" s="176">
        <f>ROUND(45702628.9685654,0)</f>
        <v>45702629</v>
      </c>
      <c r="H24" s="175"/>
      <c r="I24" s="174">
        <v>0</v>
      </c>
      <c r="J24" s="172"/>
    </row>
    <row r="25" spans="1:10" ht="24">
      <c r="A25" s="172" t="s">
        <v>13</v>
      </c>
      <c r="B25" s="173"/>
      <c r="C25" s="181">
        <f>ROUND(52866421.7648948,0)</f>
        <v>52866422</v>
      </c>
      <c r="D25" s="175"/>
      <c r="E25" s="182">
        <v>39236292</v>
      </c>
      <c r="F25" s="178"/>
      <c r="G25" s="182">
        <f>ROUND(1659512369.96085,0)</f>
        <v>1659512370</v>
      </c>
      <c r="H25" s="175"/>
      <c r="I25" s="182">
        <f>1179416606+22453801</f>
        <v>1201870407</v>
      </c>
      <c r="J25" s="172"/>
    </row>
    <row r="26" spans="1:10" ht="24">
      <c r="A26" s="183" t="s">
        <v>14</v>
      </c>
      <c r="B26" s="173"/>
      <c r="C26" s="184">
        <f>SUM(C15:C25)</f>
        <v>2298683210</v>
      </c>
      <c r="D26" s="185"/>
      <c r="E26" s="184">
        <f>SUM(E15:E25)</f>
        <v>2513908898</v>
      </c>
      <c r="F26" s="185"/>
      <c r="G26" s="184">
        <f>SUM(G15:G25)</f>
        <v>72157204755</v>
      </c>
      <c r="H26" s="185"/>
      <c r="I26" s="184">
        <f>SUM(I15:I25)</f>
        <v>77005051797</v>
      </c>
      <c r="J26" s="172"/>
    </row>
    <row r="27" spans="1:10" ht="24">
      <c r="A27" s="183" t="s">
        <v>48</v>
      </c>
      <c r="B27" s="173"/>
      <c r="C27" s="186"/>
      <c r="D27" s="185"/>
      <c r="E27" s="185"/>
      <c r="F27" s="185"/>
      <c r="G27" s="185"/>
      <c r="H27" s="185"/>
      <c r="I27" s="185"/>
      <c r="J27" s="172"/>
    </row>
    <row r="28" spans="1:10" ht="24">
      <c r="A28" s="172" t="s">
        <v>93</v>
      </c>
      <c r="B28" s="173">
        <v>10.3</v>
      </c>
      <c r="C28" s="174">
        <f>ROUND(25577427.44,0)</f>
        <v>25577427</v>
      </c>
      <c r="D28" s="175"/>
      <c r="E28" s="176">
        <v>25577427</v>
      </c>
      <c r="F28" s="177"/>
      <c r="G28" s="176">
        <f>ROUND(802892569.828544,0)</f>
        <v>802892570</v>
      </c>
      <c r="H28" s="175"/>
      <c r="I28" s="176">
        <v>783477526</v>
      </c>
      <c r="J28" s="172"/>
    </row>
    <row r="29" spans="1:10" ht="24">
      <c r="A29" s="172" t="s">
        <v>92</v>
      </c>
      <c r="B29" s="173">
        <v>10.2</v>
      </c>
      <c r="C29" s="174">
        <f>ROUND(616235970.01,0)</f>
        <v>616235970</v>
      </c>
      <c r="D29" s="175"/>
      <c r="E29" s="176">
        <f>2874310352-25577427+18503886-2251000840-1</f>
        <v>616235970</v>
      </c>
      <c r="F29" s="177"/>
      <c r="G29" s="176">
        <f>ROUND(19344059630.0296,0)</f>
        <v>19344059630</v>
      </c>
      <c r="H29" s="175"/>
      <c r="I29" s="176">
        <f>19659771265-I28</f>
        <v>18876293739</v>
      </c>
      <c r="J29" s="172"/>
    </row>
    <row r="30" spans="1:10" ht="24">
      <c r="A30" s="172" t="s">
        <v>73</v>
      </c>
      <c r="B30" s="173">
        <v>9.2</v>
      </c>
      <c r="C30" s="174">
        <f>ROUND(5398009443.46,0)</f>
        <v>5398009443</v>
      </c>
      <c r="D30" s="175"/>
      <c r="E30" s="176">
        <v>4743939086</v>
      </c>
      <c r="F30" s="177"/>
      <c r="G30" s="176">
        <f>ROUND(169447130059.705,0)</f>
        <v>169447130060</v>
      </c>
      <c r="H30" s="175"/>
      <c r="I30" s="176">
        <v>145314444512</v>
      </c>
      <c r="J30" s="172"/>
    </row>
    <row r="31" spans="1:10" ht="24">
      <c r="A31" s="172" t="s">
        <v>49</v>
      </c>
      <c r="B31" s="173" t="s">
        <v>183</v>
      </c>
      <c r="C31" s="174">
        <f>ROUND(3853562044.34,0)</f>
        <v>3853562044</v>
      </c>
      <c r="D31" s="175"/>
      <c r="E31" s="176">
        <f>3444344627-18503885</f>
        <v>3425840742</v>
      </c>
      <c r="F31" s="177"/>
      <c r="G31" s="176">
        <f>ROUND(120965892290.452,0)</f>
        <v>120965892290</v>
      </c>
      <c r="H31" s="175"/>
      <c r="I31" s="176">
        <v>104938983257</v>
      </c>
      <c r="J31" s="172"/>
    </row>
    <row r="32" spans="1:10" ht="24">
      <c r="A32" s="172" t="s">
        <v>111</v>
      </c>
      <c r="B32" s="173">
        <v>14</v>
      </c>
      <c r="C32" s="174">
        <f>ROUND(158677195.81,0)</f>
        <v>158677196</v>
      </c>
      <c r="D32" s="172"/>
      <c r="E32" s="176">
        <v>118511130</v>
      </c>
      <c r="F32" s="172"/>
      <c r="G32" s="176">
        <f>ROUND(4980983400.92791,0)</f>
        <v>4980983401</v>
      </c>
      <c r="H32" s="172"/>
      <c r="I32" s="176">
        <v>3630185534</v>
      </c>
      <c r="J32" s="172"/>
    </row>
    <row r="33" spans="1:10" ht="24">
      <c r="A33" s="172" t="s">
        <v>142</v>
      </c>
      <c r="B33" s="173"/>
      <c r="C33" s="174">
        <f>ROUND(12682409,0)</f>
        <v>12682409</v>
      </c>
      <c r="D33" s="175"/>
      <c r="E33" s="176">
        <v>14929141</v>
      </c>
      <c r="F33" s="187"/>
      <c r="G33" s="176">
        <f>ROUND(398109308.589115,0)</f>
        <v>398109309</v>
      </c>
      <c r="H33" s="178"/>
      <c r="I33" s="176">
        <v>457303463</v>
      </c>
      <c r="J33" s="172"/>
    </row>
    <row r="34" spans="1:10" ht="24">
      <c r="A34" s="172" t="s">
        <v>52</v>
      </c>
      <c r="B34" s="173"/>
      <c r="C34" s="188"/>
      <c r="D34" s="175"/>
      <c r="E34" s="172"/>
      <c r="F34" s="180"/>
      <c r="G34" s="172"/>
      <c r="H34" s="175"/>
      <c r="I34" s="172"/>
      <c r="J34" s="172"/>
    </row>
    <row r="35" spans="1:10" ht="24" hidden="1">
      <c r="A35" s="172" t="s">
        <v>50</v>
      </c>
      <c r="B35" s="173"/>
      <c r="C35" s="174"/>
      <c r="D35" s="175"/>
      <c r="E35" s="176"/>
      <c r="F35" s="177"/>
      <c r="G35" s="172"/>
      <c r="H35" s="178"/>
      <c r="I35" s="172"/>
      <c r="J35" s="172"/>
    </row>
    <row r="36" spans="1:10" ht="24" hidden="1">
      <c r="A36" s="172" t="s">
        <v>239</v>
      </c>
      <c r="B36" s="173"/>
      <c r="C36" s="174"/>
      <c r="D36" s="175"/>
      <c r="E36" s="176"/>
      <c r="F36" s="177"/>
      <c r="G36" s="172"/>
      <c r="H36" s="178"/>
      <c r="I36" s="172"/>
      <c r="J36" s="172"/>
    </row>
    <row r="37" spans="1:10" ht="24">
      <c r="A37" s="172" t="s">
        <v>88</v>
      </c>
      <c r="B37" s="176"/>
      <c r="C37" s="174">
        <f>ROUND(22291647.65,0)</f>
        <v>22291648</v>
      </c>
      <c r="D37" s="175"/>
      <c r="E37" s="176">
        <v>23611136</v>
      </c>
      <c r="F37" s="177"/>
      <c r="G37" s="176">
        <f>ROUND(699749742.596511,0)</f>
        <v>699749743</v>
      </c>
      <c r="H37" s="178"/>
      <c r="I37" s="176">
        <v>723246874</v>
      </c>
      <c r="J37" s="172"/>
    </row>
    <row r="38" spans="1:10" ht="24">
      <c r="A38" s="172" t="s">
        <v>123</v>
      </c>
      <c r="B38" s="173">
        <v>15</v>
      </c>
      <c r="C38" s="174">
        <f>ROUND(4488880.67,0)</f>
        <v>4488881</v>
      </c>
      <c r="D38" s="175"/>
      <c r="E38" s="176">
        <f>5485939</f>
        <v>5485939</v>
      </c>
      <c r="F38" s="177"/>
      <c r="G38" s="176">
        <f>ROUND(140908969.255978,0)</f>
        <v>140908969</v>
      </c>
      <c r="H38" s="178"/>
      <c r="I38" s="176">
        <v>168043102</v>
      </c>
      <c r="J38" s="172"/>
    </row>
    <row r="39" spans="1:10" ht="24">
      <c r="A39" s="172" t="s">
        <v>65</v>
      </c>
      <c r="B39" s="173"/>
      <c r="C39" s="174">
        <f>ROUND(27739444.12+58140.2-22291647.65,0)</f>
        <v>5505937</v>
      </c>
      <c r="D39" s="187"/>
      <c r="E39" s="176">
        <f>28937983-23611136</f>
        <v>5326847</v>
      </c>
      <c r="F39" s="187"/>
      <c r="G39" s="176">
        <f>ROUND(172835037.951303,0)</f>
        <v>172835038</v>
      </c>
      <c r="H39" s="187"/>
      <c r="I39" s="176">
        <v>163169844</v>
      </c>
      <c r="J39" s="172"/>
    </row>
    <row r="40" spans="1:10" ht="24">
      <c r="A40" s="183" t="s">
        <v>51</v>
      </c>
      <c r="B40" s="173"/>
      <c r="C40" s="184">
        <f>SUM(C28:C39)</f>
        <v>10097030955</v>
      </c>
      <c r="D40" s="189"/>
      <c r="E40" s="184">
        <f>SUM(E28:E39)</f>
        <v>8979457418</v>
      </c>
      <c r="F40" s="189"/>
      <c r="G40" s="184">
        <f>SUM(G28:G39)</f>
        <v>316952561010</v>
      </c>
      <c r="H40" s="189"/>
      <c r="I40" s="184">
        <f>SUM(I28:I39)</f>
        <v>275055147851</v>
      </c>
      <c r="J40" s="172"/>
    </row>
    <row r="41" spans="1:10" ht="24.75" thickBot="1">
      <c r="A41" s="183" t="s">
        <v>15</v>
      </c>
      <c r="B41" s="173"/>
      <c r="C41" s="190">
        <f>+C40+C26</f>
        <v>12395714165</v>
      </c>
      <c r="D41" s="189"/>
      <c r="E41" s="190">
        <f>+E40+E26</f>
        <v>11493366316</v>
      </c>
      <c r="F41" s="189"/>
      <c r="G41" s="190">
        <f>+G40+G26</f>
        <v>389109765765</v>
      </c>
      <c r="H41" s="189"/>
      <c r="I41" s="190">
        <f>+I40+I26</f>
        <v>352060199648</v>
      </c>
      <c r="J41" s="172"/>
    </row>
    <row r="42" spans="1:9" ht="24">
      <c r="A42" s="183"/>
      <c r="B42" s="172"/>
      <c r="C42" s="191"/>
      <c r="D42" s="172"/>
      <c r="E42" s="172"/>
      <c r="F42" s="172"/>
      <c r="G42" s="88"/>
      <c r="H42" s="172"/>
      <c r="I42" s="172"/>
    </row>
    <row r="43" spans="1:9" ht="24">
      <c r="A43" s="172" t="str">
        <f>'[1]FS-Conso'!A44</f>
        <v>หมายเหตุประกอบข้อมูลทางการเงินระหว่างกาลเป็นส่วนหนึ่งของข้อมูลทางการเงินนี้       </v>
      </c>
      <c r="B43" s="172"/>
      <c r="C43" s="188"/>
      <c r="D43" s="172"/>
      <c r="E43" s="172"/>
      <c r="F43" s="172"/>
      <c r="G43" s="172"/>
      <c r="H43" s="172"/>
      <c r="I43" s="172"/>
    </row>
    <row r="44" spans="1:9" ht="24">
      <c r="A44" s="172"/>
      <c r="B44" s="172"/>
      <c r="C44" s="188"/>
      <c r="D44" s="172"/>
      <c r="E44" s="172"/>
      <c r="F44" s="172"/>
      <c r="G44" s="172"/>
      <c r="H44" s="172"/>
      <c r="I44" s="172"/>
    </row>
    <row r="45" spans="1:9" ht="24">
      <c r="A45" s="172"/>
      <c r="B45" s="172"/>
      <c r="C45" s="188"/>
      <c r="D45" s="172"/>
      <c r="E45" s="172"/>
      <c r="F45" s="172"/>
      <c r="G45" s="172"/>
      <c r="H45" s="172"/>
      <c r="I45" s="172"/>
    </row>
    <row r="46" spans="1:9" ht="24">
      <c r="A46" s="172"/>
      <c r="B46" s="172"/>
      <c r="C46" s="188"/>
      <c r="D46" s="172"/>
      <c r="E46" s="172"/>
      <c r="F46" s="172"/>
      <c r="G46" s="172"/>
      <c r="H46" s="172"/>
      <c r="I46" s="172"/>
    </row>
    <row r="47" spans="1:9" ht="24">
      <c r="A47" s="172"/>
      <c r="B47" s="172"/>
      <c r="C47" s="188"/>
      <c r="D47" s="172"/>
      <c r="E47" s="172"/>
      <c r="F47" s="172"/>
      <c r="G47" s="172"/>
      <c r="H47" s="172"/>
      <c r="I47" s="172"/>
    </row>
    <row r="48" spans="1:9" ht="24">
      <c r="A48" s="341"/>
      <c r="B48" s="341"/>
      <c r="C48" s="341"/>
      <c r="D48" s="172"/>
      <c r="E48" s="341"/>
      <c r="F48" s="341"/>
      <c r="G48" s="341"/>
      <c r="H48" s="172"/>
      <c r="I48" s="172"/>
    </row>
    <row r="49" spans="1:9" ht="24">
      <c r="A49" s="172"/>
      <c r="B49" s="172"/>
      <c r="C49" s="188"/>
      <c r="D49" s="172"/>
      <c r="E49" s="172"/>
      <c r="F49" s="172"/>
      <c r="G49" s="172"/>
      <c r="H49" s="172"/>
      <c r="I49" s="192"/>
    </row>
    <row r="50" spans="1:9" ht="24">
      <c r="A50" s="172"/>
      <c r="B50" s="172"/>
      <c r="C50" s="188"/>
      <c r="D50" s="172"/>
      <c r="E50" s="172"/>
      <c r="F50" s="172"/>
      <c r="G50" s="172"/>
      <c r="H50" s="172"/>
      <c r="I50" s="192"/>
    </row>
    <row r="51" spans="1:9" s="162" customFormat="1" ht="23.25">
      <c r="A51" s="183"/>
      <c r="B51" s="183"/>
      <c r="C51" s="193"/>
      <c r="D51" s="183"/>
      <c r="E51" s="183"/>
      <c r="F51" s="183"/>
      <c r="G51" s="183"/>
      <c r="H51" s="183"/>
      <c r="I51" s="183"/>
    </row>
    <row r="52" spans="1:9" s="162" customFormat="1" ht="27.75">
      <c r="A52" s="337">
        <v>6</v>
      </c>
      <c r="B52" s="337"/>
      <c r="C52" s="337"/>
      <c r="D52" s="337"/>
      <c r="E52" s="337"/>
      <c r="F52" s="337"/>
      <c r="G52" s="337"/>
      <c r="H52" s="337"/>
      <c r="I52" s="337"/>
    </row>
    <row r="53" spans="1:9" s="162" customFormat="1" ht="24">
      <c r="A53" s="163"/>
      <c r="B53" s="163"/>
      <c r="C53" s="194"/>
      <c r="D53" s="163"/>
      <c r="E53" s="163"/>
      <c r="F53" s="163"/>
      <c r="G53" s="163"/>
      <c r="H53" s="163"/>
      <c r="I53" s="163"/>
    </row>
    <row r="54" spans="1:9" s="162" customFormat="1" ht="23.25">
      <c r="A54" s="339" t="s">
        <v>4</v>
      </c>
      <c r="B54" s="339"/>
      <c r="C54" s="339"/>
      <c r="D54" s="339"/>
      <c r="E54" s="339"/>
      <c r="F54" s="339"/>
      <c r="G54" s="339"/>
      <c r="H54" s="339"/>
      <c r="I54" s="339"/>
    </row>
    <row r="55" spans="1:9" s="162" customFormat="1" ht="23.25">
      <c r="A55" s="336" t="str">
        <f>+A4</f>
        <v>งบแสดงฐานะการเงิน</v>
      </c>
      <c r="B55" s="336"/>
      <c r="C55" s="336"/>
      <c r="D55" s="336"/>
      <c r="E55" s="336"/>
      <c r="F55" s="336"/>
      <c r="G55" s="336"/>
      <c r="H55" s="336"/>
      <c r="I55" s="336"/>
    </row>
    <row r="56" spans="1:9" s="162" customFormat="1" ht="23.25">
      <c r="A56" s="339" t="str">
        <f>A5</f>
        <v>ณ วันที่ 30 กันยายน 2556</v>
      </c>
      <c r="B56" s="339"/>
      <c r="C56" s="339"/>
      <c r="D56" s="339"/>
      <c r="E56" s="339"/>
      <c r="F56" s="339"/>
      <c r="G56" s="339"/>
      <c r="H56" s="339"/>
      <c r="I56" s="339"/>
    </row>
    <row r="57" spans="1:9" s="162" customFormat="1" ht="23.25">
      <c r="A57" s="336" t="s">
        <v>238</v>
      </c>
      <c r="B57" s="336"/>
      <c r="C57" s="336"/>
      <c r="D57" s="336"/>
      <c r="E57" s="336"/>
      <c r="F57" s="336"/>
      <c r="G57" s="336"/>
      <c r="H57" s="336"/>
      <c r="I57" s="336"/>
    </row>
    <row r="58" s="162" customFormat="1" ht="23.25">
      <c r="C58" s="164"/>
    </row>
    <row r="59" spans="3:9" s="165" customFormat="1" ht="23.25">
      <c r="C59" s="336" t="s">
        <v>128</v>
      </c>
      <c r="D59" s="336"/>
      <c r="E59" s="336"/>
      <c r="G59" s="336" t="s">
        <v>67</v>
      </c>
      <c r="H59" s="336"/>
      <c r="I59" s="336"/>
    </row>
    <row r="60" spans="3:9" s="165" customFormat="1" ht="23.25">
      <c r="C60" s="317"/>
      <c r="D60" s="310"/>
      <c r="E60" s="310"/>
      <c r="G60" s="310"/>
      <c r="H60" s="310"/>
      <c r="I60" s="310"/>
    </row>
    <row r="61" spans="2:9" s="166" customFormat="1" ht="23.25">
      <c r="B61" s="166" t="s">
        <v>5</v>
      </c>
      <c r="C61" s="167" t="str">
        <f>+C10</f>
        <v>30 กันยายน 2556</v>
      </c>
      <c r="E61" s="168" t="str">
        <f>+E10</f>
        <v>31 ธันวาคม 2555</v>
      </c>
      <c r="G61" s="168" t="str">
        <f>+G10</f>
        <v>30 กันยายน 2556</v>
      </c>
      <c r="I61" s="168" t="str">
        <f>+I10</f>
        <v>31 ธันวาคม 2555</v>
      </c>
    </row>
    <row r="62" spans="3:9" s="166" customFormat="1" ht="24">
      <c r="C62" s="317" t="s">
        <v>113</v>
      </c>
      <c r="D62" s="169"/>
      <c r="E62" s="310" t="s">
        <v>135</v>
      </c>
      <c r="F62" s="310"/>
      <c r="G62" s="310" t="s">
        <v>113</v>
      </c>
      <c r="H62" s="169"/>
      <c r="I62" s="310" t="s">
        <v>135</v>
      </c>
    </row>
    <row r="63" spans="3:9" s="166" customFormat="1" ht="24">
      <c r="C63" s="317" t="s">
        <v>114</v>
      </c>
      <c r="D63" s="169"/>
      <c r="E63" s="310"/>
      <c r="F63" s="310"/>
      <c r="G63" s="310" t="s">
        <v>114</v>
      </c>
      <c r="H63" s="169"/>
      <c r="I63" s="310"/>
    </row>
    <row r="64" spans="1:10" ht="24">
      <c r="A64" s="195" t="s">
        <v>16</v>
      </c>
      <c r="B64" s="172"/>
      <c r="C64" s="196"/>
      <c r="D64" s="172"/>
      <c r="E64" s="195"/>
      <c r="F64" s="195"/>
      <c r="G64" s="195"/>
      <c r="H64" s="172"/>
      <c r="I64" s="195"/>
      <c r="J64" s="166"/>
    </row>
    <row r="65" spans="1:9" ht="24">
      <c r="A65" s="183" t="s">
        <v>17</v>
      </c>
      <c r="B65" s="172"/>
      <c r="C65" s="196"/>
      <c r="D65" s="172"/>
      <c r="E65" s="172"/>
      <c r="F65" s="172"/>
      <c r="G65" s="195"/>
      <c r="H65" s="172"/>
      <c r="I65" s="172"/>
    </row>
    <row r="66" spans="1:10" ht="24" hidden="1">
      <c r="A66" s="172" t="s">
        <v>155</v>
      </c>
      <c r="B66" s="312">
        <v>17</v>
      </c>
      <c r="C66" s="174">
        <v>0</v>
      </c>
      <c r="D66" s="175"/>
      <c r="E66" s="176">
        <v>0</v>
      </c>
      <c r="F66" s="180"/>
      <c r="G66" s="176">
        <v>0</v>
      </c>
      <c r="H66" s="175"/>
      <c r="I66" s="176">
        <v>0</v>
      </c>
      <c r="J66" s="172"/>
    </row>
    <row r="67" spans="1:10" ht="24">
      <c r="A67" s="172" t="s">
        <v>53</v>
      </c>
      <c r="B67" s="312"/>
      <c r="C67" s="174">
        <f>ROUND(13243749.8,0)</f>
        <v>13243750</v>
      </c>
      <c r="D67" s="175"/>
      <c r="E67" s="176">
        <v>9785952</v>
      </c>
      <c r="F67" s="180"/>
      <c r="G67" s="176">
        <f>ROUND(415730172.08365,0)</f>
        <v>415730172</v>
      </c>
      <c r="H67" s="175"/>
      <c r="I67" s="176">
        <v>299759371</v>
      </c>
      <c r="J67" s="172"/>
    </row>
    <row r="68" spans="1:10" ht="24">
      <c r="A68" s="172" t="s">
        <v>137</v>
      </c>
      <c r="B68" s="312">
        <v>16</v>
      </c>
      <c r="C68" s="174">
        <f>ROUND(372661442.67,0)</f>
        <v>372661443</v>
      </c>
      <c r="D68" s="175"/>
      <c r="E68" s="176">
        <v>163547251</v>
      </c>
      <c r="F68" s="180"/>
      <c r="G68" s="176">
        <f>ROUND(11698092158.9247,0)</f>
        <v>11698092159</v>
      </c>
      <c r="H68" s="175"/>
      <c r="I68" s="176">
        <v>5009713971</v>
      </c>
      <c r="J68" s="172"/>
    </row>
    <row r="69" spans="1:10" ht="24">
      <c r="A69" s="172" t="s">
        <v>18</v>
      </c>
      <c r="B69" s="172"/>
      <c r="C69" s="174">
        <f>ROUND(2007216.7,0)</f>
        <v>2007217</v>
      </c>
      <c r="D69" s="175"/>
      <c r="E69" s="176">
        <v>0</v>
      </c>
      <c r="F69" s="178"/>
      <c r="G69" s="176">
        <f>ROUND(63007875.9189619,0)</f>
        <v>63007876</v>
      </c>
      <c r="H69" s="175"/>
      <c r="I69" s="176">
        <v>0</v>
      </c>
      <c r="J69" s="172"/>
    </row>
    <row r="70" spans="1:10" ht="24">
      <c r="A70" s="172" t="s">
        <v>19</v>
      </c>
      <c r="B70" s="312"/>
      <c r="C70" s="174">
        <f>ROUND(364552433.248839,0)</f>
        <v>364552433</v>
      </c>
      <c r="D70" s="175"/>
      <c r="E70" s="176">
        <v>421453532</v>
      </c>
      <c r="F70" s="178"/>
      <c r="G70" s="176">
        <f>ROUND(11443544924.7201,0)</f>
        <v>11443544925</v>
      </c>
      <c r="H70" s="175"/>
      <c r="I70" s="176">
        <v>12909796011</v>
      </c>
      <c r="J70" s="172"/>
    </row>
    <row r="71" spans="1:10" ht="24" hidden="1">
      <c r="A71" s="172" t="s">
        <v>112</v>
      </c>
      <c r="B71" s="312"/>
      <c r="C71" s="174"/>
      <c r="D71" s="175"/>
      <c r="E71" s="176"/>
      <c r="F71" s="178"/>
      <c r="G71" s="176"/>
      <c r="H71" s="175"/>
      <c r="I71" s="176"/>
      <c r="J71" s="172"/>
    </row>
    <row r="72" spans="1:10" ht="24">
      <c r="A72" s="172" t="s">
        <v>20</v>
      </c>
      <c r="B72" s="312"/>
      <c r="C72" s="174">
        <f>ROUND(8718767.41,0)</f>
        <v>8718767</v>
      </c>
      <c r="D72" s="175"/>
      <c r="E72" s="176">
        <v>5185174</v>
      </c>
      <c r="F72" s="178"/>
      <c r="G72" s="176">
        <f>ROUND(273687945.669029,0)</f>
        <v>273687946</v>
      </c>
      <c r="H72" s="175"/>
      <c r="I72" s="176">
        <v>158830175</v>
      </c>
      <c r="J72" s="172"/>
    </row>
    <row r="73" spans="1:10" ht="24">
      <c r="A73" s="172" t="s">
        <v>21</v>
      </c>
      <c r="B73" s="312"/>
      <c r="C73" s="174">
        <f>ROUND(489499705.96,0)</f>
        <v>489499706</v>
      </c>
      <c r="D73" s="175"/>
      <c r="E73" s="176">
        <v>626683082</v>
      </c>
      <c r="F73" s="178"/>
      <c r="G73" s="176">
        <f>ROUND(15365723459.5029,0)</f>
        <v>15365723460</v>
      </c>
      <c r="H73" s="178"/>
      <c r="I73" s="176">
        <v>19196305508</v>
      </c>
      <c r="J73" s="172"/>
    </row>
    <row r="74" spans="1:10" ht="24">
      <c r="A74" s="172" t="s">
        <v>122</v>
      </c>
      <c r="B74" s="312">
        <v>15</v>
      </c>
      <c r="C74" s="174">
        <f>ROUND(18773454.27,0)</f>
        <v>18773454</v>
      </c>
      <c r="D74" s="175"/>
      <c r="E74" s="176">
        <v>2415674</v>
      </c>
      <c r="F74" s="178"/>
      <c r="G74" s="176">
        <f>ROUND(589311297.188024,0)</f>
        <v>589311297</v>
      </c>
      <c r="H74" s="178"/>
      <c r="I74" s="176">
        <v>73995970</v>
      </c>
      <c r="J74" s="172"/>
    </row>
    <row r="75" spans="1:10" ht="24">
      <c r="A75" s="172" t="s">
        <v>109</v>
      </c>
      <c r="B75" s="312"/>
      <c r="C75" s="174">
        <f>ROUND(0+23310096.35,0)+8357153</f>
        <v>31667249</v>
      </c>
      <c r="D75" s="175"/>
      <c r="E75" s="176">
        <v>10728120</v>
      </c>
      <c r="F75" s="178"/>
      <c r="G75" s="176">
        <f>ROUND(731719529.077177,0)+262336627+6</f>
        <v>994056162</v>
      </c>
      <c r="H75" s="175"/>
      <c r="I75" s="176">
        <v>328619478</v>
      </c>
      <c r="J75" s="172"/>
    </row>
    <row r="76" spans="1:10" ht="24">
      <c r="A76" s="172" t="s">
        <v>22</v>
      </c>
      <c r="B76" s="312"/>
      <c r="C76" s="174">
        <f>ROUND(53231929.8664444+1322824.08-23310096.351,0)</f>
        <v>31244658</v>
      </c>
      <c r="D76" s="175"/>
      <c r="E76" s="176">
        <f>42795112+1</f>
        <v>42795113</v>
      </c>
      <c r="F76" s="178"/>
      <c r="G76" s="176">
        <f>ROUND(980790718.295248,0)</f>
        <v>980790718</v>
      </c>
      <c r="H76" s="175"/>
      <c r="I76" s="176">
        <v>1310882784</v>
      </c>
      <c r="J76" s="172"/>
    </row>
    <row r="77" spans="1:10" s="162" customFormat="1" ht="24">
      <c r="A77" s="183" t="s">
        <v>23</v>
      </c>
      <c r="B77" s="311"/>
      <c r="C77" s="184">
        <f>SUM(C66:C76)</f>
        <v>1332368677</v>
      </c>
      <c r="D77" s="185"/>
      <c r="E77" s="184">
        <f>SUM(E66:E76)</f>
        <v>1282593898</v>
      </c>
      <c r="F77" s="185"/>
      <c r="G77" s="184">
        <f>SUM(G66:G76)</f>
        <v>41823944715</v>
      </c>
      <c r="H77" s="185"/>
      <c r="I77" s="184">
        <f>SUM(I66:I76)</f>
        <v>39287903268</v>
      </c>
      <c r="J77" s="172"/>
    </row>
    <row r="78" spans="1:10" s="162" customFormat="1" ht="24">
      <c r="A78" s="183" t="s">
        <v>54</v>
      </c>
      <c r="B78" s="183"/>
      <c r="C78" s="193"/>
      <c r="D78" s="183"/>
      <c r="E78" s="183"/>
      <c r="F78" s="183"/>
      <c r="G78" s="183"/>
      <c r="H78" s="183"/>
      <c r="I78" s="183"/>
      <c r="J78" s="172"/>
    </row>
    <row r="79" spans="1:10" ht="24">
      <c r="A79" s="172" t="s">
        <v>24</v>
      </c>
      <c r="B79" s="173">
        <v>16</v>
      </c>
      <c r="C79" s="174">
        <f>ROUND(738314505.98,0)</f>
        <v>738314506</v>
      </c>
      <c r="D79" s="175"/>
      <c r="E79" s="176">
        <v>626520150</v>
      </c>
      <c r="F79" s="177"/>
      <c r="G79" s="172">
        <f>ROUND(23176186598.0676,0)</f>
        <v>23176186598</v>
      </c>
      <c r="H79" s="175"/>
      <c r="I79" s="176">
        <v>19191314641</v>
      </c>
      <c r="J79" s="172"/>
    </row>
    <row r="80" spans="1:10" s="162" customFormat="1" ht="24">
      <c r="A80" s="172" t="s">
        <v>157</v>
      </c>
      <c r="B80" s="173">
        <v>16</v>
      </c>
      <c r="C80" s="174">
        <v>50000000</v>
      </c>
      <c r="D80" s="183"/>
      <c r="E80" s="176">
        <v>50000000</v>
      </c>
      <c r="F80" s="183"/>
      <c r="G80" s="176">
        <f>ROUND(1569533471.87082,0)</f>
        <v>1569533472</v>
      </c>
      <c r="H80" s="183"/>
      <c r="I80" s="176">
        <v>1531580000</v>
      </c>
      <c r="J80" s="172"/>
    </row>
    <row r="81" spans="1:10" s="162" customFormat="1" ht="24" hidden="1">
      <c r="A81" s="172" t="s">
        <v>97</v>
      </c>
      <c r="B81" s="173">
        <v>15</v>
      </c>
      <c r="C81" s="174"/>
      <c r="D81" s="183"/>
      <c r="E81" s="172"/>
      <c r="F81" s="183"/>
      <c r="H81" s="183"/>
      <c r="I81" s="172"/>
      <c r="J81" s="172"/>
    </row>
    <row r="82" spans="1:10" ht="24">
      <c r="A82" s="172" t="s">
        <v>143</v>
      </c>
      <c r="B82" s="173"/>
      <c r="C82" s="174">
        <f>ROUND(330722632.87,0)</f>
        <v>330722633</v>
      </c>
      <c r="D82" s="175"/>
      <c r="E82" s="176">
        <f>266485704-1</f>
        <v>266485703</v>
      </c>
      <c r="F82" s="180"/>
      <c r="G82" s="176">
        <f>ROUND(10381604843.8942,0)</f>
        <v>10381604844</v>
      </c>
      <c r="H82" s="175"/>
      <c r="I82" s="176">
        <v>8162883476</v>
      </c>
      <c r="J82" s="172"/>
    </row>
    <row r="83" spans="1:10" ht="24">
      <c r="A83" s="172" t="s">
        <v>138</v>
      </c>
      <c r="B83" s="173">
        <v>17</v>
      </c>
      <c r="C83" s="174">
        <f>ROUND(0+75648347.53,0)-1</f>
        <v>75648347</v>
      </c>
      <c r="D83" s="175"/>
      <c r="E83" s="176">
        <v>70471359</v>
      </c>
      <c r="F83" s="178"/>
      <c r="G83" s="176">
        <f>ROUND(2374652270.80103,0)</f>
        <v>2374652271</v>
      </c>
      <c r="H83" s="178"/>
      <c r="I83" s="176">
        <v>2158650476</v>
      </c>
      <c r="J83" s="172"/>
    </row>
    <row r="84" spans="1:10" ht="24">
      <c r="A84" s="172" t="s">
        <v>139</v>
      </c>
      <c r="B84" s="173"/>
      <c r="C84" s="174">
        <f>ROUND(539668274.66,0)</f>
        <v>539668275</v>
      </c>
      <c r="D84" s="175"/>
      <c r="E84" s="176">
        <v>525410288</v>
      </c>
      <c r="F84" s="178"/>
      <c r="G84" s="176">
        <f>ROUND(16940548415.7129,0)</f>
        <v>16940548416</v>
      </c>
      <c r="H84" s="178"/>
      <c r="I84" s="176">
        <v>16094157775</v>
      </c>
      <c r="J84" s="172"/>
    </row>
    <row r="85" spans="1:10" ht="24">
      <c r="A85" s="172" t="s">
        <v>163</v>
      </c>
      <c r="B85" s="173"/>
      <c r="C85" s="174">
        <f>ROUND(0+548181864.54,0)-8357153</f>
        <v>539824712</v>
      </c>
      <c r="D85" s="175"/>
      <c r="E85" s="176">
        <f>178178301-10728120</f>
        <v>167450181</v>
      </c>
      <c r="F85" s="178"/>
      <c r="G85" s="176">
        <f>ROUND(17207795701.3617,0)-262336627-6</f>
        <v>16945459068</v>
      </c>
      <c r="H85" s="178"/>
      <c r="I85" s="176">
        <f>5457886432-328619478+1</f>
        <v>5129266955</v>
      </c>
      <c r="J85" s="172"/>
    </row>
    <row r="86" spans="1:10" ht="24">
      <c r="A86" s="172" t="s">
        <v>55</v>
      </c>
      <c r="B86" s="173"/>
      <c r="C86" s="179"/>
      <c r="D86" s="175"/>
      <c r="E86" s="176"/>
      <c r="F86" s="178"/>
      <c r="G86" s="176"/>
      <c r="H86" s="178"/>
      <c r="I86" s="176"/>
      <c r="J86" s="172"/>
    </row>
    <row r="87" spans="1:10" ht="24">
      <c r="A87" s="172" t="s">
        <v>126</v>
      </c>
      <c r="B87" s="312">
        <v>15</v>
      </c>
      <c r="C87" s="179">
        <f>ROUND(26149485.22,0)</f>
        <v>26149485</v>
      </c>
      <c r="D87" s="175"/>
      <c r="E87" s="176">
        <v>42864385</v>
      </c>
      <c r="F87" s="178"/>
      <c r="G87" s="176">
        <f>ROUND(820849846.499626,0)+1</f>
        <v>820849847</v>
      </c>
      <c r="H87" s="178"/>
      <c r="I87" s="176">
        <v>1313004681</v>
      </c>
      <c r="J87" s="172"/>
    </row>
    <row r="88" spans="1:10" ht="24" hidden="1">
      <c r="A88" s="172" t="s">
        <v>56</v>
      </c>
      <c r="B88" s="173"/>
      <c r="C88" s="174"/>
      <c r="D88" s="175"/>
      <c r="E88" s="176"/>
      <c r="F88" s="178"/>
      <c r="G88" s="174"/>
      <c r="H88" s="178"/>
      <c r="I88" s="176"/>
      <c r="J88" s="172"/>
    </row>
    <row r="89" spans="1:10" ht="24">
      <c r="A89" s="172" t="s">
        <v>57</v>
      </c>
      <c r="B89" s="173"/>
      <c r="C89" s="181">
        <f>ROUND(637372170.94-75648347.53-548181864.54,0)</f>
        <v>13541959</v>
      </c>
      <c r="D89" s="175"/>
      <c r="E89" s="182">
        <f>82130685-70471359+1</f>
        <v>11659327</v>
      </c>
      <c r="F89" s="178"/>
      <c r="G89" s="182">
        <f>ROUND(425091154.42326,0)</f>
        <v>425091154</v>
      </c>
      <c r="H89" s="178"/>
      <c r="I89" s="182">
        <f>5815030261-5457886432</f>
        <v>357143829</v>
      </c>
      <c r="J89" s="172"/>
    </row>
    <row r="90" spans="1:10" s="162" customFormat="1" ht="24">
      <c r="A90" s="183" t="s">
        <v>58</v>
      </c>
      <c r="B90" s="173"/>
      <c r="C90" s="197">
        <f>SUM(C79:C89)</f>
        <v>2313869917</v>
      </c>
      <c r="D90" s="175"/>
      <c r="E90" s="198">
        <f>SUM(E79:E89)</f>
        <v>1760861393</v>
      </c>
      <c r="F90" s="178"/>
      <c r="G90" s="197">
        <f>SUM(G79:G89)</f>
        <v>72633925670</v>
      </c>
      <c r="H90" s="178"/>
      <c r="I90" s="197">
        <f>SUM(I79:I89)</f>
        <v>53938001833</v>
      </c>
      <c r="J90" s="172"/>
    </row>
    <row r="91" spans="1:10" ht="24">
      <c r="A91" s="183" t="s">
        <v>25</v>
      </c>
      <c r="B91" s="173"/>
      <c r="C91" s="198">
        <f>+C90+C77</f>
        <v>3646238594</v>
      </c>
      <c r="D91" s="175"/>
      <c r="E91" s="198">
        <f>+E90+E77</f>
        <v>3043455291</v>
      </c>
      <c r="F91" s="178"/>
      <c r="G91" s="198">
        <f>+G90+G77</f>
        <v>114457870385</v>
      </c>
      <c r="H91" s="178"/>
      <c r="I91" s="198">
        <f>+I90+I77</f>
        <v>93225905101</v>
      </c>
      <c r="J91" s="172"/>
    </row>
    <row r="92" spans="1:10" ht="24">
      <c r="A92" s="183" t="s">
        <v>2</v>
      </c>
      <c r="B92" s="173"/>
      <c r="C92" s="179"/>
      <c r="D92" s="175"/>
      <c r="E92" s="175"/>
      <c r="F92" s="177"/>
      <c r="G92" s="175"/>
      <c r="H92" s="178"/>
      <c r="I92" s="175"/>
      <c r="J92" s="172"/>
    </row>
    <row r="93" spans="1:10" ht="24">
      <c r="A93" s="172" t="s">
        <v>26</v>
      </c>
      <c r="B93" s="173">
        <v>18</v>
      </c>
      <c r="C93" s="179"/>
      <c r="D93" s="175"/>
      <c r="E93" s="175"/>
      <c r="F93" s="178"/>
      <c r="G93" s="175"/>
      <c r="H93" s="175"/>
      <c r="I93" s="175"/>
      <c r="J93" s="172"/>
    </row>
    <row r="94" spans="1:10" ht="24">
      <c r="A94" s="172" t="s">
        <v>47</v>
      </c>
      <c r="B94" s="173"/>
      <c r="C94" s="179"/>
      <c r="D94" s="175"/>
      <c r="E94" s="175"/>
      <c r="F94" s="178"/>
      <c r="G94" s="187"/>
      <c r="H94" s="175"/>
      <c r="I94" s="187"/>
      <c r="J94" s="172"/>
    </row>
    <row r="95" spans="1:10" ht="24">
      <c r="A95" s="172" t="s">
        <v>164</v>
      </c>
      <c r="B95" s="173"/>
      <c r="C95" s="179"/>
      <c r="D95" s="175"/>
      <c r="E95" s="175"/>
      <c r="F95" s="178"/>
      <c r="G95" s="182">
        <v>3969985400</v>
      </c>
      <c r="H95" s="175"/>
      <c r="I95" s="182">
        <v>3969985400</v>
      </c>
      <c r="J95" s="172"/>
    </row>
    <row r="96" spans="1:10" ht="24">
      <c r="A96" s="172" t="s">
        <v>68</v>
      </c>
      <c r="B96" s="173"/>
      <c r="C96" s="174"/>
      <c r="D96" s="175"/>
      <c r="E96" s="176"/>
      <c r="F96" s="178"/>
      <c r="G96" s="172"/>
      <c r="H96" s="175"/>
      <c r="I96" s="172"/>
      <c r="J96" s="172"/>
    </row>
    <row r="97" spans="1:10" ht="24">
      <c r="A97" s="172" t="s">
        <v>164</v>
      </c>
      <c r="B97" s="173"/>
      <c r="C97" s="188">
        <f>ROUND(150683762.18,0)</f>
        <v>150683762</v>
      </c>
      <c r="D97" s="175"/>
      <c r="E97" s="172">
        <v>150683762</v>
      </c>
      <c r="F97" s="178"/>
      <c r="G97" s="172">
        <v>3969985400</v>
      </c>
      <c r="H97" s="312"/>
      <c r="I97" s="172">
        <v>3969985400</v>
      </c>
      <c r="J97" s="172"/>
    </row>
    <row r="98" spans="1:10" ht="24">
      <c r="A98" s="172" t="s">
        <v>27</v>
      </c>
      <c r="B98" s="173"/>
      <c r="C98" s="188">
        <f>ROUND(3439036611.86,0)</f>
        <v>3439036612</v>
      </c>
      <c r="D98" s="175"/>
      <c r="E98" s="172">
        <v>3438921013</v>
      </c>
      <c r="F98" s="178"/>
      <c r="G98" s="172">
        <f>ROUND(105417619764.482,0)</f>
        <v>105417619764</v>
      </c>
      <c r="H98" s="176"/>
      <c r="I98" s="172">
        <v>105412493326</v>
      </c>
      <c r="J98" s="172"/>
    </row>
    <row r="99" spans="1:10" ht="24">
      <c r="A99" s="172" t="s">
        <v>165</v>
      </c>
      <c r="B99" s="173"/>
      <c r="C99" s="188">
        <f>ROUND(156570483.07,0)</f>
        <v>156570483</v>
      </c>
      <c r="D99" s="175"/>
      <c r="E99" s="172">
        <v>156570483</v>
      </c>
      <c r="F99" s="178"/>
      <c r="G99" s="172">
        <f>ROUND(4981947515.29,0)</f>
        <v>4981947515</v>
      </c>
      <c r="H99" s="176"/>
      <c r="I99" s="172">
        <v>4981947515</v>
      </c>
      <c r="J99" s="172"/>
    </row>
    <row r="100" spans="1:10" ht="24">
      <c r="A100" s="172" t="s">
        <v>66</v>
      </c>
      <c r="B100" s="173"/>
      <c r="C100" s="188"/>
      <c r="D100" s="175"/>
      <c r="E100" s="172"/>
      <c r="F100" s="177"/>
      <c r="G100" s="172"/>
      <c r="H100" s="176"/>
      <c r="I100" s="172"/>
      <c r="J100" s="172"/>
    </row>
    <row r="101" spans="1:10" ht="24">
      <c r="A101" s="172" t="s">
        <v>60</v>
      </c>
      <c r="B101" s="173"/>
      <c r="C101" s="188"/>
      <c r="D101" s="175"/>
      <c r="E101" s="172"/>
      <c r="F101" s="177"/>
      <c r="G101" s="172"/>
      <c r="H101" s="176"/>
      <c r="I101" s="172"/>
      <c r="J101" s="172"/>
    </row>
    <row r="102" spans="1:10" ht="24">
      <c r="A102" s="172" t="s">
        <v>59</v>
      </c>
      <c r="B102" s="173"/>
      <c r="C102" s="188">
        <f>ROUND(15048319.14,0)</f>
        <v>15048319</v>
      </c>
      <c r="D102" s="175"/>
      <c r="E102" s="172">
        <v>15048319</v>
      </c>
      <c r="F102" s="177"/>
      <c r="G102" s="172">
        <f>ROUND(396998540,0)</f>
        <v>396998540</v>
      </c>
      <c r="H102" s="176"/>
      <c r="I102" s="172">
        <v>396998540</v>
      </c>
      <c r="J102" s="172"/>
    </row>
    <row r="103" spans="1:10" ht="24">
      <c r="A103" s="172" t="s">
        <v>214</v>
      </c>
      <c r="B103" s="173"/>
      <c r="C103" s="188">
        <f>ROUND(431231211.9,0)</f>
        <v>431231212</v>
      </c>
      <c r="D103" s="175"/>
      <c r="E103" s="172">
        <v>431231212</v>
      </c>
      <c r="F103" s="175"/>
      <c r="G103" s="172">
        <v>16900000000</v>
      </c>
      <c r="H103" s="176"/>
      <c r="I103" s="172">
        <v>16900000000</v>
      </c>
      <c r="J103" s="172"/>
    </row>
    <row r="104" spans="1:10" ht="24">
      <c r="A104" s="172" t="s">
        <v>61</v>
      </c>
      <c r="B104" s="173"/>
      <c r="C104" s="188">
        <f>'Equity_Change_The Company'!N42</f>
        <v>4574559137</v>
      </c>
      <c r="D104" s="175"/>
      <c r="E104" s="172">
        <v>4285805868</v>
      </c>
      <c r="F104" s="175"/>
      <c r="G104" s="172">
        <f>ROUND(153287531164.504,0)-1</f>
        <v>153287531164</v>
      </c>
      <c r="H104" s="176"/>
      <c r="I104" s="172">
        <v>144598691270</v>
      </c>
      <c r="J104" s="172"/>
    </row>
    <row r="105" spans="1:10" ht="24">
      <c r="A105" s="172" t="s">
        <v>116</v>
      </c>
      <c r="B105" s="173"/>
      <c r="C105" s="199">
        <f>ROUND(-17653953.54,0)</f>
        <v>-17653954</v>
      </c>
      <c r="D105" s="175"/>
      <c r="E105" s="200">
        <v>-28349632</v>
      </c>
      <c r="F105" s="175"/>
      <c r="G105" s="200">
        <f>ROUND(-10302187002.7857,0)</f>
        <v>-10302187003</v>
      </c>
      <c r="H105" s="176"/>
      <c r="I105" s="200">
        <v>-17425821504</v>
      </c>
      <c r="J105" s="172"/>
    </row>
    <row r="106" spans="1:10" ht="24">
      <c r="A106" s="183" t="s">
        <v>28</v>
      </c>
      <c r="B106" s="173"/>
      <c r="C106" s="198">
        <f>SUM(C97:C105)</f>
        <v>8749475571</v>
      </c>
      <c r="D106" s="175"/>
      <c r="E106" s="198">
        <f>SUM(E97:E105)</f>
        <v>8449911025</v>
      </c>
      <c r="F106" s="175"/>
      <c r="G106" s="198">
        <f>SUM(G97:G105)</f>
        <v>274651895380</v>
      </c>
      <c r="H106" s="176"/>
      <c r="I106" s="198">
        <f>SUM(I97:I105)</f>
        <v>258834294547</v>
      </c>
      <c r="J106" s="172"/>
    </row>
    <row r="107" spans="1:10" ht="24.75" thickBot="1">
      <c r="A107" s="183" t="s">
        <v>29</v>
      </c>
      <c r="B107" s="173"/>
      <c r="C107" s="190">
        <f>C106+C91</f>
        <v>12395714165</v>
      </c>
      <c r="D107" s="175"/>
      <c r="E107" s="190">
        <f>E106+E91</f>
        <v>11493366316</v>
      </c>
      <c r="F107" s="175"/>
      <c r="G107" s="190">
        <f>G106+G91</f>
        <v>389109765765</v>
      </c>
      <c r="H107" s="175"/>
      <c r="I107" s="190">
        <f>I106+I91</f>
        <v>352060199648</v>
      </c>
      <c r="J107" s="172"/>
    </row>
    <row r="108" spans="1:10" ht="24">
      <c r="A108" s="162"/>
      <c r="B108" s="163"/>
      <c r="C108" s="132">
        <f>C41-C107</f>
        <v>0</v>
      </c>
      <c r="D108" s="134"/>
      <c r="E108" s="132">
        <f>E41-E107</f>
        <v>0</v>
      </c>
      <c r="F108" s="134"/>
      <c r="G108" s="132">
        <f>G41-G107</f>
        <v>0</v>
      </c>
      <c r="H108" s="133"/>
      <c r="I108" s="132">
        <f>I41-I107</f>
        <v>0</v>
      </c>
      <c r="J108" s="201"/>
    </row>
    <row r="109" spans="1:9" ht="24">
      <c r="A109" s="172" t="str">
        <f>A43</f>
        <v>หมายเหตุประกอบข้อมูลทางการเงินระหว่างกาลเป็นส่วนหนึ่งของข้อมูลทางการเงินนี้       </v>
      </c>
      <c r="B109" s="163"/>
      <c r="C109" s="194"/>
      <c r="D109" s="163"/>
      <c r="E109" s="163"/>
      <c r="F109" s="163"/>
      <c r="G109" s="95"/>
      <c r="H109" s="163"/>
      <c r="I109" s="96"/>
    </row>
    <row r="110" spans="1:9" s="162" customFormat="1" ht="27.75">
      <c r="A110" s="337">
        <v>11</v>
      </c>
      <c r="B110" s="337"/>
      <c r="C110" s="337"/>
      <c r="D110" s="337"/>
      <c r="E110" s="337"/>
      <c r="F110" s="337"/>
      <c r="G110" s="337"/>
      <c r="H110" s="337"/>
      <c r="I110" s="337"/>
    </row>
    <row r="111" spans="1:9" s="162" customFormat="1" ht="24">
      <c r="A111" s="163"/>
      <c r="B111" s="163"/>
      <c r="C111" s="194"/>
      <c r="D111" s="163"/>
      <c r="E111" s="163"/>
      <c r="F111" s="163"/>
      <c r="G111" s="163"/>
      <c r="H111" s="163"/>
      <c r="I111" s="202" t="s">
        <v>113</v>
      </c>
    </row>
    <row r="112" spans="1:9" s="162" customFormat="1" ht="24">
      <c r="A112" s="163"/>
      <c r="B112" s="163"/>
      <c r="C112" s="194"/>
      <c r="D112" s="163"/>
      <c r="E112" s="163"/>
      <c r="F112" s="163"/>
      <c r="G112" s="163"/>
      <c r="H112" s="163"/>
      <c r="I112" s="202" t="s">
        <v>114</v>
      </c>
    </row>
    <row r="113" spans="1:9" s="162" customFormat="1" ht="24">
      <c r="A113" s="163"/>
      <c r="B113" s="163"/>
      <c r="C113" s="194"/>
      <c r="D113" s="163"/>
      <c r="E113" s="163"/>
      <c r="F113" s="163"/>
      <c r="G113" s="163"/>
      <c r="H113" s="163"/>
      <c r="I113" s="163"/>
    </row>
    <row r="114" spans="1:9" s="162" customFormat="1" ht="23.25">
      <c r="A114" s="336" t="s">
        <v>4</v>
      </c>
      <c r="B114" s="336"/>
      <c r="C114" s="336"/>
      <c r="D114" s="336"/>
      <c r="E114" s="336"/>
      <c r="F114" s="336"/>
      <c r="G114" s="336"/>
      <c r="H114" s="336"/>
      <c r="I114" s="336"/>
    </row>
    <row r="115" spans="1:9" s="162" customFormat="1" ht="23.25">
      <c r="A115" s="336" t="s">
        <v>130</v>
      </c>
      <c r="B115" s="336"/>
      <c r="C115" s="336"/>
      <c r="D115" s="336"/>
      <c r="E115" s="336"/>
      <c r="F115" s="336"/>
      <c r="G115" s="336"/>
      <c r="H115" s="336"/>
      <c r="I115" s="336"/>
    </row>
    <row r="116" spans="1:9" s="162" customFormat="1" ht="23.25">
      <c r="A116" s="336" t="s">
        <v>230</v>
      </c>
      <c r="B116" s="336"/>
      <c r="C116" s="336"/>
      <c r="D116" s="336"/>
      <c r="E116" s="336"/>
      <c r="F116" s="336"/>
      <c r="G116" s="336"/>
      <c r="H116" s="336"/>
      <c r="I116" s="336"/>
    </row>
    <row r="117" spans="1:9" s="162" customFormat="1" ht="23.25">
      <c r="A117" s="336" t="s">
        <v>238</v>
      </c>
      <c r="B117" s="336"/>
      <c r="C117" s="336"/>
      <c r="D117" s="336"/>
      <c r="E117" s="336"/>
      <c r="F117" s="336"/>
      <c r="G117" s="336"/>
      <c r="H117" s="336"/>
      <c r="I117" s="336"/>
    </row>
    <row r="118" spans="1:9" s="162" customFormat="1" ht="23.25">
      <c r="A118" s="338"/>
      <c r="B118" s="338"/>
      <c r="C118" s="338"/>
      <c r="D118" s="338"/>
      <c r="E118" s="338"/>
      <c r="F118" s="338"/>
      <c r="G118" s="338"/>
      <c r="H118" s="338"/>
      <c r="I118" s="338"/>
    </row>
    <row r="119" spans="3:9" s="165" customFormat="1" ht="23.25">
      <c r="C119" s="336" t="s">
        <v>128</v>
      </c>
      <c r="D119" s="336"/>
      <c r="E119" s="336"/>
      <c r="G119" s="336" t="s">
        <v>67</v>
      </c>
      <c r="H119" s="336"/>
      <c r="I119" s="336"/>
    </row>
    <row r="120" spans="3:16" s="165" customFormat="1" ht="23.25">
      <c r="C120" s="317"/>
      <c r="D120" s="310"/>
      <c r="E120" s="310"/>
      <c r="G120" s="310"/>
      <c r="H120" s="310"/>
      <c r="I120" s="310"/>
      <c r="L120" s="203"/>
      <c r="M120" s="203"/>
      <c r="N120" s="203"/>
      <c r="O120" s="203"/>
      <c r="P120" s="203"/>
    </row>
    <row r="121" spans="3:16" s="166" customFormat="1" ht="23.25">
      <c r="C121" s="167">
        <v>2556</v>
      </c>
      <c r="E121" s="168">
        <v>2555</v>
      </c>
      <c r="G121" s="168">
        <v>2556</v>
      </c>
      <c r="I121" s="168">
        <v>2555</v>
      </c>
      <c r="L121" s="204"/>
      <c r="M121" s="204"/>
      <c r="N121" s="204"/>
      <c r="O121" s="204"/>
      <c r="P121" s="204"/>
    </row>
    <row r="122" spans="3:16" s="166" customFormat="1" ht="23.25">
      <c r="C122" s="317"/>
      <c r="D122" s="310"/>
      <c r="E122" s="310"/>
      <c r="F122" s="310"/>
      <c r="G122" s="310"/>
      <c r="H122" s="310"/>
      <c r="I122" s="310"/>
      <c r="L122" s="204"/>
      <c r="M122" s="204"/>
      <c r="N122" s="204"/>
      <c r="O122" s="204"/>
      <c r="P122" s="204"/>
    </row>
    <row r="123" spans="1:16" ht="24">
      <c r="A123" s="162" t="s">
        <v>30</v>
      </c>
      <c r="E123" s="172"/>
      <c r="L123" s="205"/>
      <c r="M123" s="206"/>
      <c r="N123" s="206"/>
      <c r="O123" s="206"/>
      <c r="P123" s="206"/>
    </row>
    <row r="124" spans="1:16" ht="24">
      <c r="A124" s="169" t="s">
        <v>31</v>
      </c>
      <c r="B124" s="173"/>
      <c r="C124" s="188">
        <f>ROUND(919121757.25,0)</f>
        <v>919121757</v>
      </c>
      <c r="D124" s="175"/>
      <c r="E124" s="188">
        <v>924439655</v>
      </c>
      <c r="F124" s="178"/>
      <c r="G124" s="176">
        <v>28921949902</v>
      </c>
      <c r="H124" s="176"/>
      <c r="I124" s="174">
        <v>28983464172</v>
      </c>
      <c r="J124" s="172"/>
      <c r="L124" s="207"/>
      <c r="M124" s="207"/>
      <c r="N124" s="208"/>
      <c r="O124" s="208"/>
      <c r="P124" s="206"/>
    </row>
    <row r="125" spans="1:16" ht="24" hidden="1">
      <c r="A125" s="169" t="s">
        <v>46</v>
      </c>
      <c r="B125" s="173"/>
      <c r="C125" s="188"/>
      <c r="D125" s="175"/>
      <c r="E125" s="176"/>
      <c r="F125" s="178"/>
      <c r="G125" s="176"/>
      <c r="H125" s="176"/>
      <c r="I125" s="176"/>
      <c r="J125" s="172"/>
      <c r="L125" s="207"/>
      <c r="M125" s="207"/>
      <c r="N125" s="208"/>
      <c r="O125" s="208"/>
      <c r="P125" s="206"/>
    </row>
    <row r="126" spans="1:16" ht="24">
      <c r="A126" s="169" t="s">
        <v>32</v>
      </c>
      <c r="B126" s="173"/>
      <c r="C126" s="188"/>
      <c r="D126" s="178"/>
      <c r="E126" s="188"/>
      <c r="F126" s="178"/>
      <c r="G126" s="172"/>
      <c r="H126" s="176"/>
      <c r="I126" s="188"/>
      <c r="J126" s="172"/>
      <c r="L126" s="207"/>
      <c r="M126" s="207"/>
      <c r="N126" s="208"/>
      <c r="O126" s="208"/>
      <c r="P126" s="206"/>
    </row>
    <row r="127" spans="1:16" ht="24">
      <c r="A127" s="169" t="s">
        <v>216</v>
      </c>
      <c r="B127" s="173"/>
      <c r="C127" s="188">
        <v>0</v>
      </c>
      <c r="D127" s="178"/>
      <c r="E127" s="188">
        <v>12636331</v>
      </c>
      <c r="F127" s="178"/>
      <c r="G127" s="176">
        <v>0</v>
      </c>
      <c r="H127" s="175"/>
      <c r="I127" s="174">
        <v>393077681</v>
      </c>
      <c r="J127" s="172"/>
      <c r="L127" s="207"/>
      <c r="M127" s="207"/>
      <c r="N127" s="208"/>
      <c r="O127" s="208"/>
      <c r="P127" s="206"/>
    </row>
    <row r="128" spans="1:16" ht="24">
      <c r="A128" s="169" t="s">
        <v>33</v>
      </c>
      <c r="B128" s="173"/>
      <c r="C128" s="188">
        <f>ROUND(36678461.1,0)</f>
        <v>36678461</v>
      </c>
      <c r="D128" s="175"/>
      <c r="E128" s="188">
        <f>30327806-1</f>
        <v>30327805</v>
      </c>
      <c r="F128" s="180"/>
      <c r="G128" s="176">
        <v>1154647494</v>
      </c>
      <c r="H128" s="175"/>
      <c r="I128" s="174">
        <v>950938925</v>
      </c>
      <c r="J128" s="172"/>
      <c r="L128" s="207"/>
      <c r="M128" s="207"/>
      <c r="N128" s="208"/>
      <c r="O128" s="208"/>
      <c r="P128" s="206"/>
    </row>
    <row r="129" spans="1:16" ht="24">
      <c r="A129" s="169" t="s">
        <v>141</v>
      </c>
      <c r="B129" s="173"/>
      <c r="C129" s="188">
        <f>ROUND(965969.42,0)</f>
        <v>965969</v>
      </c>
      <c r="D129" s="175"/>
      <c r="E129" s="188">
        <f>4318927+339936-1</f>
        <v>4658862</v>
      </c>
      <c r="F129" s="180"/>
      <c r="G129" s="176">
        <v>30741349</v>
      </c>
      <c r="H129" s="175"/>
      <c r="I129" s="174">
        <v>145640330</v>
      </c>
      <c r="J129" s="172"/>
      <c r="L129" s="207"/>
      <c r="M129" s="207"/>
      <c r="N129" s="208"/>
      <c r="O129" s="208"/>
      <c r="P129" s="206"/>
    </row>
    <row r="130" spans="1:16" ht="24">
      <c r="A130" s="169" t="s">
        <v>34</v>
      </c>
      <c r="B130" s="173"/>
      <c r="C130" s="188">
        <v>4773264</v>
      </c>
      <c r="D130" s="175"/>
      <c r="E130" s="188">
        <v>870479</v>
      </c>
      <c r="F130" s="178"/>
      <c r="G130" s="176">
        <v>143967061</v>
      </c>
      <c r="H130" s="175"/>
      <c r="I130" s="174">
        <v>27235578</v>
      </c>
      <c r="J130" s="172"/>
      <c r="L130" s="207"/>
      <c r="M130" s="207"/>
      <c r="N130" s="208"/>
      <c r="O130" s="208"/>
      <c r="P130" s="206"/>
    </row>
    <row r="131" spans="1:16" ht="24">
      <c r="A131" s="169" t="s">
        <v>84</v>
      </c>
      <c r="B131" s="173"/>
      <c r="C131" s="188">
        <f>ROUND(80431187.84,0)</f>
        <v>80431188</v>
      </c>
      <c r="D131" s="178"/>
      <c r="E131" s="209">
        <v>38469711</v>
      </c>
      <c r="F131" s="178"/>
      <c r="G131" s="176">
        <v>2550488577</v>
      </c>
      <c r="H131" s="175"/>
      <c r="I131" s="174">
        <f>4850456257-ROUND(31910939.72,0)-ROUND(3645538417.68,0)+1</f>
        <v>1173006900</v>
      </c>
      <c r="L131" s="210"/>
      <c r="M131" s="207"/>
      <c r="N131" s="208"/>
      <c r="O131" s="208"/>
      <c r="P131" s="206"/>
    </row>
    <row r="132" spans="1:16" ht="24">
      <c r="A132" s="169" t="s">
        <v>204</v>
      </c>
      <c r="B132" s="173"/>
      <c r="C132" s="211">
        <f>SUM(C124:C131)</f>
        <v>1041970639</v>
      </c>
      <c r="D132" s="212"/>
      <c r="E132" s="211">
        <f>SUM(E124:E131)</f>
        <v>1011402843</v>
      </c>
      <c r="F132" s="213"/>
      <c r="G132" s="211">
        <f>SUM(G124:G131)</f>
        <v>32801794383</v>
      </c>
      <c r="H132" s="175"/>
      <c r="I132" s="211">
        <f>SUM(I124:I131)</f>
        <v>31673363586</v>
      </c>
      <c r="L132" s="214"/>
      <c r="M132" s="214"/>
      <c r="N132" s="208"/>
      <c r="O132" s="208"/>
      <c r="P132" s="206"/>
    </row>
    <row r="133" spans="1:16" ht="24">
      <c r="A133" s="162" t="s">
        <v>35</v>
      </c>
      <c r="B133" s="173"/>
      <c r="C133" s="174"/>
      <c r="D133" s="175"/>
      <c r="E133" s="176"/>
      <c r="F133" s="178"/>
      <c r="G133" s="172"/>
      <c r="H133" s="175"/>
      <c r="I133" s="172"/>
      <c r="L133" s="179"/>
      <c r="M133" s="179"/>
      <c r="N133" s="208"/>
      <c r="O133" s="208"/>
      <c r="P133" s="206"/>
    </row>
    <row r="134" spans="1:16" ht="24">
      <c r="A134" s="169" t="s">
        <v>79</v>
      </c>
      <c r="B134" s="173"/>
      <c r="C134" s="172">
        <v>67010706</v>
      </c>
      <c r="D134" s="175"/>
      <c r="E134" s="188">
        <f>54742229+1</f>
        <v>54742230</v>
      </c>
      <c r="F134" s="178"/>
      <c r="G134" s="176">
        <v>2110412482</v>
      </c>
      <c r="H134" s="175"/>
      <c r="I134" s="174">
        <f>1716704283-1</f>
        <v>1716704282</v>
      </c>
      <c r="J134" s="172"/>
      <c r="L134" s="207"/>
      <c r="M134" s="207"/>
      <c r="N134" s="208"/>
      <c r="O134" s="208"/>
      <c r="P134" s="206"/>
    </row>
    <row r="135" spans="1:16" ht="24">
      <c r="A135" s="169" t="s">
        <v>85</v>
      </c>
      <c r="B135" s="173"/>
      <c r="C135" s="172">
        <v>2275461</v>
      </c>
      <c r="D135" s="175"/>
      <c r="E135" s="188">
        <v>3291951</v>
      </c>
      <c r="F135" s="178"/>
      <c r="G135" s="176">
        <v>71522395</v>
      </c>
      <c r="H135" s="175"/>
      <c r="I135" s="174">
        <f>103262376+1</f>
        <v>103262377</v>
      </c>
      <c r="J135" s="172"/>
      <c r="L135" s="207"/>
      <c r="M135" s="207"/>
      <c r="N135" s="208"/>
      <c r="O135" s="208"/>
      <c r="P135" s="206"/>
    </row>
    <row r="136" spans="1:16" ht="24">
      <c r="A136" s="169" t="s">
        <v>95</v>
      </c>
      <c r="B136" s="173"/>
      <c r="C136" s="172">
        <v>48257420</v>
      </c>
      <c r="D136" s="175"/>
      <c r="E136" s="188">
        <f>29356869-ROUND(692892.32,0)-1</f>
        <v>28663976</v>
      </c>
      <c r="F136" s="178"/>
      <c r="G136" s="176">
        <v>1522371864</v>
      </c>
      <c r="H136" s="175"/>
      <c r="I136" s="188">
        <v>896048507</v>
      </c>
      <c r="J136" s="172"/>
      <c r="L136" s="207"/>
      <c r="M136" s="207"/>
      <c r="N136" s="208"/>
      <c r="O136" s="208"/>
      <c r="P136" s="206"/>
    </row>
    <row r="137" spans="1:16" ht="24">
      <c r="A137" s="169" t="s">
        <v>80</v>
      </c>
      <c r="B137" s="173"/>
      <c r="C137" s="172">
        <v>114761707</v>
      </c>
      <c r="D137" s="175"/>
      <c r="E137" s="188">
        <f>115554957</f>
        <v>115554957</v>
      </c>
      <c r="F137" s="178"/>
      <c r="G137" s="176">
        <v>3613653510</v>
      </c>
      <c r="H137" s="175"/>
      <c r="I137" s="188">
        <v>3622933023</v>
      </c>
      <c r="J137" s="172"/>
      <c r="L137" s="207"/>
      <c r="M137" s="207"/>
      <c r="N137" s="208"/>
      <c r="O137" s="208"/>
      <c r="P137" s="206"/>
    </row>
    <row r="138" spans="1:16" ht="24">
      <c r="A138" s="169" t="s">
        <v>86</v>
      </c>
      <c r="B138" s="173"/>
      <c r="C138" s="172">
        <v>217617159</v>
      </c>
      <c r="D138" s="175"/>
      <c r="E138" s="188">
        <v>191089887</v>
      </c>
      <c r="F138" s="178"/>
      <c r="G138" s="176">
        <v>6846972171</v>
      </c>
      <c r="H138" s="175"/>
      <c r="I138" s="188">
        <v>5995608843</v>
      </c>
      <c r="J138" s="172"/>
      <c r="L138" s="207"/>
      <c r="M138" s="207"/>
      <c r="N138" s="208"/>
      <c r="O138" s="208"/>
      <c r="P138" s="206"/>
    </row>
    <row r="139" spans="1:16" ht="24">
      <c r="A139" s="169" t="s">
        <v>36</v>
      </c>
      <c r="B139" s="173"/>
      <c r="C139" s="174"/>
      <c r="D139" s="175"/>
      <c r="E139" s="176"/>
      <c r="F139" s="178"/>
      <c r="G139" s="176"/>
      <c r="H139" s="175"/>
      <c r="I139" s="176"/>
      <c r="J139" s="172"/>
      <c r="L139" s="179"/>
      <c r="M139" s="179"/>
      <c r="N139" s="208"/>
      <c r="O139" s="208"/>
      <c r="P139" s="206"/>
    </row>
    <row r="140" spans="1:16" ht="24">
      <c r="A140" s="169" t="s">
        <v>221</v>
      </c>
      <c r="B140" s="173"/>
      <c r="C140" s="188">
        <f>ROUND(18695877.48,0)</f>
        <v>18695877</v>
      </c>
      <c r="D140" s="175"/>
      <c r="E140" s="188">
        <v>0</v>
      </c>
      <c r="F140" s="178"/>
      <c r="G140" s="172">
        <v>579523048</v>
      </c>
      <c r="H140" s="175"/>
      <c r="I140" s="174">
        <v>0</v>
      </c>
      <c r="J140" s="172"/>
      <c r="L140" s="207"/>
      <c r="M140" s="207"/>
      <c r="N140" s="208"/>
      <c r="O140" s="208"/>
      <c r="P140" s="206"/>
    </row>
    <row r="141" spans="1:16" ht="24" hidden="1">
      <c r="A141" s="169" t="s">
        <v>110</v>
      </c>
      <c r="B141" s="173"/>
      <c r="C141" s="172"/>
      <c r="D141" s="175"/>
      <c r="E141" s="188"/>
      <c r="F141" s="178"/>
      <c r="G141" s="176"/>
      <c r="H141" s="175"/>
      <c r="I141" s="176"/>
      <c r="J141" s="172"/>
      <c r="L141" s="207"/>
      <c r="M141" s="207"/>
      <c r="N141" s="208"/>
      <c r="O141" s="208"/>
      <c r="P141" s="206"/>
    </row>
    <row r="142" spans="1:16" ht="24" hidden="1">
      <c r="A142" s="169" t="s">
        <v>89</v>
      </c>
      <c r="B142" s="173"/>
      <c r="C142" s="172"/>
      <c r="D142" s="175"/>
      <c r="E142" s="188"/>
      <c r="F142" s="178"/>
      <c r="G142" s="100"/>
      <c r="H142" s="175"/>
      <c r="I142" s="100"/>
      <c r="L142" s="65"/>
      <c r="M142" s="65"/>
      <c r="N142" s="208"/>
      <c r="O142" s="208"/>
      <c r="P142" s="206"/>
    </row>
    <row r="143" spans="1:16" ht="24" hidden="1">
      <c r="A143" s="169" t="s">
        <v>240</v>
      </c>
      <c r="B143" s="173"/>
      <c r="C143" s="172"/>
      <c r="D143" s="175"/>
      <c r="E143" s="188"/>
      <c r="F143" s="178"/>
      <c r="G143" s="172"/>
      <c r="H143" s="175"/>
      <c r="I143" s="188"/>
      <c r="L143" s="207"/>
      <c r="M143" s="207"/>
      <c r="N143" s="208"/>
      <c r="O143" s="208"/>
      <c r="P143" s="206"/>
    </row>
    <row r="144" spans="1:16" ht="24">
      <c r="A144" s="169" t="s">
        <v>96</v>
      </c>
      <c r="B144" s="173"/>
      <c r="C144" s="172">
        <v>1468264</v>
      </c>
      <c r="D144" s="175"/>
      <c r="E144" s="188">
        <f>478988+ROUND(692892.32,0)</f>
        <v>1171880</v>
      </c>
      <c r="F144" s="178"/>
      <c r="G144" s="175">
        <v>44823835</v>
      </c>
      <c r="H144" s="175"/>
      <c r="I144" s="188">
        <v>36757801</v>
      </c>
      <c r="L144" s="187"/>
      <c r="M144" s="207"/>
      <c r="N144" s="208"/>
      <c r="O144" s="208"/>
      <c r="P144" s="206"/>
    </row>
    <row r="145" spans="1:16" ht="24" hidden="1">
      <c r="A145" s="169" t="s">
        <v>241</v>
      </c>
      <c r="B145" s="173"/>
      <c r="C145" s="172"/>
      <c r="D145" s="175"/>
      <c r="E145" s="188"/>
      <c r="F145" s="178"/>
      <c r="G145" s="176"/>
      <c r="H145" s="175"/>
      <c r="I145" s="188"/>
      <c r="L145" s="179"/>
      <c r="M145" s="179"/>
      <c r="N145" s="208"/>
      <c r="O145" s="208"/>
      <c r="P145" s="206"/>
    </row>
    <row r="146" spans="1:16" ht="24">
      <c r="A146" s="169" t="s">
        <v>150</v>
      </c>
      <c r="B146" s="173"/>
      <c r="C146" s="172">
        <v>11257361</v>
      </c>
      <c r="D146" s="175"/>
      <c r="E146" s="179">
        <f>14030497-1</f>
        <v>14030496</v>
      </c>
      <c r="F146" s="178"/>
      <c r="G146" s="182">
        <v>354906632</v>
      </c>
      <c r="H146" s="175"/>
      <c r="I146" s="179">
        <v>439886925</v>
      </c>
      <c r="J146" s="172"/>
      <c r="L146" s="179"/>
      <c r="M146" s="179"/>
      <c r="N146" s="208"/>
      <c r="O146" s="208"/>
      <c r="P146" s="206"/>
    </row>
    <row r="147" spans="1:16" ht="24">
      <c r="A147" s="169" t="s">
        <v>205</v>
      </c>
      <c r="B147" s="173"/>
      <c r="C147" s="211">
        <f>SUM(C134:C146)</f>
        <v>481343955</v>
      </c>
      <c r="D147" s="212"/>
      <c r="E147" s="211">
        <f>SUM(E134:E146)</f>
        <v>408545377</v>
      </c>
      <c r="F147" s="213"/>
      <c r="G147" s="197">
        <f>SUM(G134:G146)</f>
        <v>15144185937</v>
      </c>
      <c r="H147" s="212"/>
      <c r="I147" s="197">
        <f>SUM(I134:I146)</f>
        <v>12811201758</v>
      </c>
      <c r="L147" s="214"/>
      <c r="M147" s="214"/>
      <c r="N147" s="208"/>
      <c r="O147" s="208"/>
      <c r="P147" s="206"/>
    </row>
    <row r="148" spans="1:16" ht="24">
      <c r="A148" s="162" t="s">
        <v>94</v>
      </c>
      <c r="B148" s="173"/>
      <c r="C148" s="215">
        <f>C132-C147</f>
        <v>560626684</v>
      </c>
      <c r="D148" s="212"/>
      <c r="E148" s="215">
        <f>E132-E147</f>
        <v>602857466</v>
      </c>
      <c r="F148" s="213"/>
      <c r="G148" s="215">
        <f>G132-G147</f>
        <v>17657608446</v>
      </c>
      <c r="H148" s="212"/>
      <c r="I148" s="212">
        <f>I132-I147</f>
        <v>18862161828</v>
      </c>
      <c r="L148" s="214"/>
      <c r="M148" s="212"/>
      <c r="N148" s="208"/>
      <c r="O148" s="208"/>
      <c r="P148" s="206"/>
    </row>
    <row r="149" spans="1:16" ht="24">
      <c r="A149" s="169" t="s">
        <v>156</v>
      </c>
      <c r="B149" s="173"/>
      <c r="C149" s="181">
        <v>-149284629</v>
      </c>
      <c r="D149" s="187"/>
      <c r="E149" s="181">
        <v>-149045235</v>
      </c>
      <c r="F149" s="178"/>
      <c r="G149" s="176">
        <v>-4693697452</v>
      </c>
      <c r="H149" s="187"/>
      <c r="I149" s="199">
        <v>-4675015611</v>
      </c>
      <c r="J149" s="172"/>
      <c r="L149" s="214"/>
      <c r="M149" s="214"/>
      <c r="N149" s="208"/>
      <c r="O149" s="208"/>
      <c r="P149" s="206"/>
    </row>
    <row r="150" spans="1:16" ht="24.75" thickBot="1">
      <c r="A150" s="162" t="s">
        <v>148</v>
      </c>
      <c r="B150" s="173"/>
      <c r="C150" s="216">
        <f>SUM(C148:C149)</f>
        <v>411342055</v>
      </c>
      <c r="D150" s="189"/>
      <c r="E150" s="216">
        <f>SUM(E148:E149)</f>
        <v>453812231</v>
      </c>
      <c r="F150" s="189"/>
      <c r="G150" s="216">
        <f>SUM(G148:G149)</f>
        <v>12963910994</v>
      </c>
      <c r="H150" s="189"/>
      <c r="I150" s="216">
        <f>SUM(I148:I149)</f>
        <v>14187146217</v>
      </c>
      <c r="L150" s="214"/>
      <c r="M150" s="179"/>
      <c r="N150" s="208"/>
      <c r="O150" s="208"/>
      <c r="P150" s="206"/>
    </row>
    <row r="151" spans="1:16" ht="24">
      <c r="A151" s="162"/>
      <c r="B151" s="173"/>
      <c r="C151" s="217"/>
      <c r="D151" s="175"/>
      <c r="E151" s="189"/>
      <c r="F151" s="218"/>
      <c r="G151" s="189"/>
      <c r="H151" s="218"/>
      <c r="I151" s="189"/>
      <c r="L151" s="179"/>
      <c r="M151" s="217"/>
      <c r="N151" s="208"/>
      <c r="O151" s="208"/>
      <c r="P151" s="206"/>
    </row>
    <row r="152" spans="1:16" ht="24">
      <c r="A152" s="162" t="s">
        <v>44</v>
      </c>
      <c r="B152" s="163"/>
      <c r="C152" s="219"/>
      <c r="D152" s="220"/>
      <c r="E152" s="220"/>
      <c r="F152" s="221"/>
      <c r="G152" s="222"/>
      <c r="H152" s="220"/>
      <c r="I152" s="222"/>
      <c r="L152" s="206"/>
      <c r="M152" s="206"/>
      <c r="N152" s="208"/>
      <c r="O152" s="208"/>
      <c r="P152" s="206"/>
    </row>
    <row r="153" spans="1:16" ht="24">
      <c r="A153" s="162"/>
      <c r="B153" s="169" t="s">
        <v>242</v>
      </c>
      <c r="C153" s="223"/>
      <c r="D153" s="221"/>
      <c r="E153" s="221"/>
      <c r="F153" s="221"/>
      <c r="G153" s="222"/>
      <c r="H153" s="221"/>
      <c r="I153" s="222"/>
      <c r="L153" s="206"/>
      <c r="M153" s="206"/>
      <c r="N153" s="208"/>
      <c r="O153" s="208"/>
      <c r="P153" s="206"/>
    </row>
    <row r="154" spans="1:16" ht="24">
      <c r="A154" s="169" t="s">
        <v>37</v>
      </c>
      <c r="C154" s="224">
        <f>(+C150-2276731)/G95</f>
        <v>0.10303950336945823</v>
      </c>
      <c r="D154" s="225"/>
      <c r="E154" s="224">
        <f>(E150+'Equity_Change_The Company'!N20)/3319985400</f>
        <v>0.1359744063934739</v>
      </c>
      <c r="F154" s="225"/>
      <c r="G154" s="225">
        <f>(+G150-72185522)/G95</f>
        <v>3.247297955302304</v>
      </c>
      <c r="H154" s="225"/>
      <c r="I154" s="224">
        <f>(I150+'Equity_Change_The Company'!N65)/3319985400</f>
        <v>4.251040989216398</v>
      </c>
      <c r="L154" s="206"/>
      <c r="M154" s="206"/>
      <c r="N154" s="208"/>
      <c r="O154" s="208"/>
      <c r="P154" s="206"/>
    </row>
    <row r="155" spans="1:16" ht="24">
      <c r="A155" s="169" t="s">
        <v>72</v>
      </c>
      <c r="C155" s="224">
        <f>(+C150-2276731)/G95</f>
        <v>0.10303950336945823</v>
      </c>
      <c r="D155" s="225"/>
      <c r="E155" s="224">
        <f>(E150+'Equity_Change_The Company'!N20)/3319985400</f>
        <v>0.1359744063934739</v>
      </c>
      <c r="F155" s="225"/>
      <c r="G155" s="225">
        <f>(+G150-72185522)/G95</f>
        <v>3.247297955302304</v>
      </c>
      <c r="H155" s="225"/>
      <c r="I155" s="224">
        <f>(I150+'Equity_Change_The Company'!N65)/3319985400</f>
        <v>4.251040989216398</v>
      </c>
      <c r="L155" s="206"/>
      <c r="M155" s="206"/>
      <c r="N155" s="208"/>
      <c r="O155" s="208"/>
      <c r="P155" s="206"/>
    </row>
    <row r="156" spans="3:16" ht="24">
      <c r="C156" s="219"/>
      <c r="D156" s="220"/>
      <c r="E156" s="220"/>
      <c r="F156" s="221"/>
      <c r="G156" s="226"/>
      <c r="H156" s="220"/>
      <c r="I156" s="222"/>
      <c r="L156" s="206"/>
      <c r="M156" s="206"/>
      <c r="N156" s="208"/>
      <c r="O156" s="208"/>
      <c r="P156" s="206"/>
    </row>
    <row r="157" spans="1:16" ht="24">
      <c r="A157" s="172" t="str">
        <f>A109</f>
        <v>หมายเหตุประกอบข้อมูลทางการเงินระหว่างกาลเป็นส่วนหนึ่งของข้อมูลทางการเงินนี้       </v>
      </c>
      <c r="C157" s="219"/>
      <c r="D157" s="220"/>
      <c r="F157" s="221"/>
      <c r="G157" s="222"/>
      <c r="H157" s="220"/>
      <c r="I157" s="222"/>
      <c r="L157" s="206"/>
      <c r="M157" s="206"/>
      <c r="N157" s="208"/>
      <c r="O157" s="208"/>
      <c r="P157" s="206"/>
    </row>
    <row r="158" spans="12:16" ht="24">
      <c r="L158" s="206"/>
      <c r="M158" s="206"/>
      <c r="N158" s="208"/>
      <c r="O158" s="208"/>
      <c r="P158" s="206"/>
    </row>
    <row r="159" spans="1:16" s="162" customFormat="1" ht="27.75">
      <c r="A159" s="337">
        <v>12</v>
      </c>
      <c r="B159" s="337"/>
      <c r="C159" s="337"/>
      <c r="D159" s="337"/>
      <c r="E159" s="337"/>
      <c r="F159" s="337"/>
      <c r="G159" s="337"/>
      <c r="H159" s="337"/>
      <c r="I159" s="337"/>
      <c r="L159" s="227"/>
      <c r="M159" s="227"/>
      <c r="N159" s="228"/>
      <c r="O159" s="228"/>
      <c r="P159" s="227"/>
    </row>
    <row r="160" spans="1:16" s="162" customFormat="1" ht="24">
      <c r="A160" s="163"/>
      <c r="B160" s="163"/>
      <c r="C160" s="194"/>
      <c r="D160" s="163"/>
      <c r="E160" s="163"/>
      <c r="F160" s="163"/>
      <c r="G160" s="163"/>
      <c r="H160" s="163"/>
      <c r="I160" s="202" t="s">
        <v>113</v>
      </c>
      <c r="L160" s="227"/>
      <c r="M160" s="227"/>
      <c r="N160" s="228"/>
      <c r="O160" s="228"/>
      <c r="P160" s="227"/>
    </row>
    <row r="161" spans="1:16" s="162" customFormat="1" ht="24">
      <c r="A161" s="163"/>
      <c r="B161" s="163"/>
      <c r="C161" s="194"/>
      <c r="D161" s="163"/>
      <c r="E161" s="163"/>
      <c r="F161" s="163"/>
      <c r="G161" s="163"/>
      <c r="H161" s="163"/>
      <c r="I161" s="202" t="s">
        <v>114</v>
      </c>
      <c r="L161" s="227"/>
      <c r="M161" s="227"/>
      <c r="N161" s="228"/>
      <c r="O161" s="228"/>
      <c r="P161" s="227"/>
    </row>
    <row r="162" spans="1:16" s="162" customFormat="1" ht="24">
      <c r="A162" s="163"/>
      <c r="B162" s="163"/>
      <c r="C162" s="194"/>
      <c r="D162" s="163"/>
      <c r="E162" s="163"/>
      <c r="F162" s="163"/>
      <c r="G162" s="163"/>
      <c r="H162" s="163"/>
      <c r="I162" s="163"/>
      <c r="L162" s="227"/>
      <c r="M162" s="227"/>
      <c r="N162" s="228"/>
      <c r="O162" s="228"/>
      <c r="P162" s="227"/>
    </row>
    <row r="163" spans="1:16" s="162" customFormat="1" ht="23.25">
      <c r="A163" s="336" t="s">
        <v>4</v>
      </c>
      <c r="B163" s="336"/>
      <c r="C163" s="336"/>
      <c r="D163" s="336"/>
      <c r="E163" s="336"/>
      <c r="F163" s="336"/>
      <c r="G163" s="336"/>
      <c r="H163" s="336"/>
      <c r="I163" s="336"/>
      <c r="L163" s="227"/>
      <c r="M163" s="227"/>
      <c r="N163" s="228"/>
      <c r="O163" s="228"/>
      <c r="P163" s="227"/>
    </row>
    <row r="164" spans="1:16" s="162" customFormat="1" ht="23.25">
      <c r="A164" s="336" t="s">
        <v>115</v>
      </c>
      <c r="B164" s="336"/>
      <c r="C164" s="336"/>
      <c r="D164" s="336"/>
      <c r="E164" s="336"/>
      <c r="F164" s="336"/>
      <c r="G164" s="336"/>
      <c r="H164" s="336"/>
      <c r="I164" s="336"/>
      <c r="L164" s="227"/>
      <c r="M164" s="227"/>
      <c r="N164" s="228"/>
      <c r="O164" s="228"/>
      <c r="P164" s="227"/>
    </row>
    <row r="165" spans="1:16" s="162" customFormat="1" ht="23.25">
      <c r="A165" s="336" t="str">
        <f>+A116</f>
        <v>สำหรับงวดสามเดือนสิ้นสุดวันที่ 30 กันยายน 2556</v>
      </c>
      <c r="B165" s="336"/>
      <c r="C165" s="336"/>
      <c r="D165" s="336"/>
      <c r="E165" s="336"/>
      <c r="F165" s="336"/>
      <c r="G165" s="336"/>
      <c r="H165" s="336"/>
      <c r="I165" s="336"/>
      <c r="L165" s="227"/>
      <c r="M165" s="227"/>
      <c r="N165" s="228"/>
      <c r="O165" s="228"/>
      <c r="P165" s="227"/>
    </row>
    <row r="166" spans="1:16" s="162" customFormat="1" ht="23.25">
      <c r="A166" s="336" t="s">
        <v>238</v>
      </c>
      <c r="B166" s="336"/>
      <c r="C166" s="336"/>
      <c r="D166" s="336"/>
      <c r="E166" s="336"/>
      <c r="F166" s="336"/>
      <c r="G166" s="336"/>
      <c r="H166" s="336"/>
      <c r="I166" s="336"/>
      <c r="L166" s="227"/>
      <c r="M166" s="227"/>
      <c r="N166" s="228"/>
      <c r="O166" s="228"/>
      <c r="P166" s="227"/>
    </row>
    <row r="167" spans="1:16" s="162" customFormat="1" ht="23.25">
      <c r="A167" s="338"/>
      <c r="B167" s="338"/>
      <c r="C167" s="338"/>
      <c r="D167" s="338"/>
      <c r="E167" s="338"/>
      <c r="F167" s="338"/>
      <c r="G167" s="338"/>
      <c r="H167" s="338"/>
      <c r="I167" s="338"/>
      <c r="L167" s="227"/>
      <c r="M167" s="227"/>
      <c r="N167" s="228"/>
      <c r="O167" s="228"/>
      <c r="P167" s="227"/>
    </row>
    <row r="168" spans="3:16" s="165" customFormat="1" ht="23.25">
      <c r="C168" s="336" t="s">
        <v>128</v>
      </c>
      <c r="D168" s="336"/>
      <c r="E168" s="336"/>
      <c r="G168" s="336" t="s">
        <v>67</v>
      </c>
      <c r="H168" s="336"/>
      <c r="I168" s="336"/>
      <c r="L168" s="203"/>
      <c r="M168" s="203"/>
      <c r="N168" s="229"/>
      <c r="O168" s="229"/>
      <c r="P168" s="203"/>
    </row>
    <row r="169" spans="3:16" s="165" customFormat="1" ht="23.25">
      <c r="C169" s="317"/>
      <c r="D169" s="310"/>
      <c r="E169" s="310"/>
      <c r="G169" s="310"/>
      <c r="H169" s="310"/>
      <c r="I169" s="310"/>
      <c r="L169" s="203"/>
      <c r="M169" s="203"/>
      <c r="N169" s="229"/>
      <c r="O169" s="229"/>
      <c r="P169" s="203"/>
    </row>
    <row r="170" spans="3:16" s="166" customFormat="1" ht="23.25">
      <c r="C170" s="167">
        <v>2556</v>
      </c>
      <c r="E170" s="168">
        <v>2555</v>
      </c>
      <c r="G170" s="168">
        <v>2556</v>
      </c>
      <c r="I170" s="168">
        <v>2555</v>
      </c>
      <c r="L170" s="204"/>
      <c r="M170" s="204"/>
      <c r="N170" s="230"/>
      <c r="O170" s="230"/>
      <c r="P170" s="204"/>
    </row>
    <row r="171" spans="3:16" s="166" customFormat="1" ht="23.25">
      <c r="C171" s="317"/>
      <c r="D171" s="310"/>
      <c r="E171" s="310"/>
      <c r="F171" s="310"/>
      <c r="G171" s="310"/>
      <c r="H171" s="310"/>
      <c r="I171" s="310"/>
      <c r="L171" s="204"/>
      <c r="M171" s="204"/>
      <c r="N171" s="230"/>
      <c r="O171" s="230"/>
      <c r="P171" s="204"/>
    </row>
    <row r="172" spans="3:16" s="166" customFormat="1" ht="23.25">
      <c r="C172" s="231"/>
      <c r="E172" s="232"/>
      <c r="G172" s="232"/>
      <c r="I172" s="233"/>
      <c r="L172" s="204"/>
      <c r="M172" s="204"/>
      <c r="N172" s="230"/>
      <c r="O172" s="230"/>
      <c r="P172" s="204"/>
    </row>
    <row r="173" spans="1:16" ht="24">
      <c r="A173" s="162" t="s">
        <v>148</v>
      </c>
      <c r="C173" s="193">
        <f>C150</f>
        <v>411342055</v>
      </c>
      <c r="D173" s="162"/>
      <c r="E173" s="193">
        <f>+E150</f>
        <v>453812231</v>
      </c>
      <c r="F173" s="162"/>
      <c r="G173" s="183">
        <f>G150</f>
        <v>12963910994</v>
      </c>
      <c r="H173" s="162"/>
      <c r="I173" s="193">
        <f>+I150</f>
        <v>14187146217</v>
      </c>
      <c r="L173" s="206"/>
      <c r="M173" s="206"/>
      <c r="N173" s="208"/>
      <c r="O173" s="208"/>
      <c r="P173" s="206"/>
    </row>
    <row r="174" spans="1:16" ht="24">
      <c r="A174" s="162" t="s">
        <v>167</v>
      </c>
      <c r="C174" s="188"/>
      <c r="E174" s="188"/>
      <c r="G174" s="172"/>
      <c r="I174" s="188"/>
      <c r="L174" s="206"/>
      <c r="M174" s="206"/>
      <c r="P174" s="206"/>
    </row>
    <row r="175" spans="1:16" ht="24">
      <c r="A175" s="172" t="s">
        <v>117</v>
      </c>
      <c r="C175" s="188">
        <v>0</v>
      </c>
      <c r="E175" s="188">
        <v>0</v>
      </c>
      <c r="G175" s="172">
        <v>1656125703</v>
      </c>
      <c r="I175" s="188">
        <v>-5016863322</v>
      </c>
      <c r="L175" s="206"/>
      <c r="M175" s="206"/>
      <c r="N175" s="208"/>
      <c r="O175" s="208"/>
      <c r="P175" s="206"/>
    </row>
    <row r="176" spans="1:16" ht="24">
      <c r="A176" s="172" t="s">
        <v>210</v>
      </c>
      <c r="C176" s="188">
        <f>ROUND(412351.09,0)</f>
        <v>412351</v>
      </c>
      <c r="E176" s="188">
        <v>-16189771</v>
      </c>
      <c r="G176" s="172">
        <v>13714907</v>
      </c>
      <c r="I176" s="188">
        <v>-508477544.02</v>
      </c>
      <c r="L176" s="206"/>
      <c r="M176" s="206"/>
      <c r="N176" s="208"/>
      <c r="O176" s="208"/>
      <c r="P176" s="206"/>
    </row>
    <row r="177" spans="1:16" ht="24">
      <c r="A177" s="172" t="s">
        <v>149</v>
      </c>
      <c r="C177" s="188">
        <f>ROUND(-82470.6200000001,0)</f>
        <v>-82471</v>
      </c>
      <c r="E177" s="188">
        <v>3150161</v>
      </c>
      <c r="G177" s="172">
        <v>-2615145</v>
      </c>
      <c r="I177" s="188">
        <v>97651532.02000001</v>
      </c>
      <c r="L177" s="206"/>
      <c r="M177" s="206"/>
      <c r="N177" s="208"/>
      <c r="O177" s="208"/>
      <c r="P177" s="206"/>
    </row>
    <row r="178" spans="1:16" ht="24">
      <c r="A178" s="162" t="s">
        <v>132</v>
      </c>
      <c r="C178" s="234">
        <f>SUM(C175:C177)</f>
        <v>329880</v>
      </c>
      <c r="D178" s="162"/>
      <c r="E178" s="234">
        <f>SUM(E175:E177)</f>
        <v>-13039610</v>
      </c>
      <c r="F178" s="162"/>
      <c r="G178" s="234">
        <f>SUM(G175:G177)</f>
        <v>1667225465</v>
      </c>
      <c r="H178" s="162"/>
      <c r="I178" s="234">
        <f>SUM(I175:I177)</f>
        <v>-5427689334</v>
      </c>
      <c r="L178" s="206"/>
      <c r="M178" s="206"/>
      <c r="N178" s="206"/>
      <c r="O178" s="206"/>
      <c r="P178" s="206"/>
    </row>
    <row r="179" spans="1:16" ht="24.75" thickBot="1">
      <c r="A179" s="162" t="s">
        <v>131</v>
      </c>
      <c r="C179" s="216">
        <f>+C173+C178</f>
        <v>411671935</v>
      </c>
      <c r="D179" s="162"/>
      <c r="E179" s="216">
        <f>+E173+E178</f>
        <v>440772621</v>
      </c>
      <c r="F179" s="162"/>
      <c r="G179" s="216">
        <f>+G173+G178</f>
        <v>14631136459</v>
      </c>
      <c r="H179" s="162"/>
      <c r="I179" s="216">
        <f>+I173+I178</f>
        <v>8759456883</v>
      </c>
      <c r="L179" s="206"/>
      <c r="M179" s="206"/>
      <c r="N179" s="206"/>
      <c r="O179" s="206"/>
      <c r="P179" s="206"/>
    </row>
    <row r="180" spans="1:16" ht="24">
      <c r="A180" s="162"/>
      <c r="C180" s="235">
        <f>+C179-'Equity_Change_The Company'!V41</f>
        <v>-678175837</v>
      </c>
      <c r="D180" s="236"/>
      <c r="E180" s="235">
        <f>+E179-'Equity_Change_The Company'!V22</f>
        <v>-659577039</v>
      </c>
      <c r="F180" s="236"/>
      <c r="G180" s="235">
        <f>+G179-'Equity_Change_The Company'!X87</f>
        <v>-25247699012</v>
      </c>
      <c r="H180" s="236"/>
      <c r="I180" s="235">
        <f>+I179-'Equity_Change_The Company'!X67</f>
        <v>-21217527096</v>
      </c>
      <c r="L180" s="206"/>
      <c r="M180" s="206"/>
      <c r="N180" s="206"/>
      <c r="O180" s="206"/>
      <c r="P180" s="206"/>
    </row>
    <row r="181" spans="3:16" ht="24">
      <c r="C181" s="237">
        <f>+C178-'Equity_Change_The Company'!T41</f>
        <v>-10365798</v>
      </c>
      <c r="D181" s="237"/>
      <c r="E181" s="237">
        <f>+E178-'Equity_Change_The Company'!T22</f>
        <v>8977547</v>
      </c>
      <c r="F181" s="237"/>
      <c r="G181" s="237">
        <f>+G178-'Equity_Change_The Company'!V87</f>
        <v>-5456409036</v>
      </c>
      <c r="H181" s="237"/>
      <c r="I181" s="237">
        <f>+I178-'Equity_Change_The Company'!V67</f>
        <v>-508932216</v>
      </c>
      <c r="L181" s="206"/>
      <c r="M181" s="206"/>
      <c r="N181" s="206"/>
      <c r="O181" s="206"/>
      <c r="P181" s="206"/>
    </row>
    <row r="182" spans="1:16" ht="24">
      <c r="A182" s="172" t="str">
        <f>A157</f>
        <v>หมายเหตุประกอบข้อมูลทางการเงินระหว่างกาลเป็นส่วนหนึ่งของข้อมูลทางการเงินนี้       </v>
      </c>
      <c r="C182" s="122"/>
      <c r="D182" s="96"/>
      <c r="E182" s="96"/>
      <c r="F182" s="96"/>
      <c r="G182" s="96"/>
      <c r="H182" s="96"/>
      <c r="I182" s="96"/>
      <c r="L182" s="206"/>
      <c r="M182" s="206"/>
      <c r="N182" s="206"/>
      <c r="O182" s="206"/>
      <c r="P182" s="206"/>
    </row>
    <row r="183" spans="3:16" ht="24">
      <c r="C183" s="188"/>
      <c r="E183" s="172"/>
      <c r="G183" s="172"/>
      <c r="I183" s="172"/>
      <c r="L183" s="206"/>
      <c r="M183" s="206"/>
      <c r="N183" s="206"/>
      <c r="O183" s="206"/>
      <c r="P183" s="206"/>
    </row>
    <row r="184" spans="1:16" s="162" customFormat="1" ht="27.75">
      <c r="A184" s="337">
        <v>13</v>
      </c>
      <c r="B184" s="337"/>
      <c r="C184" s="337"/>
      <c r="D184" s="337"/>
      <c r="E184" s="337"/>
      <c r="F184" s="337"/>
      <c r="G184" s="337"/>
      <c r="H184" s="337"/>
      <c r="I184" s="337"/>
      <c r="L184" s="227"/>
      <c r="M184" s="227"/>
      <c r="N184" s="227"/>
      <c r="O184" s="227"/>
      <c r="P184" s="227"/>
    </row>
    <row r="185" spans="1:16" s="162" customFormat="1" ht="24">
      <c r="A185" s="163"/>
      <c r="B185" s="163"/>
      <c r="C185" s="194"/>
      <c r="D185" s="163"/>
      <c r="E185" s="163"/>
      <c r="F185" s="163"/>
      <c r="G185" s="163"/>
      <c r="H185" s="163"/>
      <c r="I185" s="202" t="s">
        <v>113</v>
      </c>
      <c r="L185" s="227"/>
      <c r="M185" s="227"/>
      <c r="N185" s="227"/>
      <c r="O185" s="227"/>
      <c r="P185" s="227"/>
    </row>
    <row r="186" spans="1:16" s="162" customFormat="1" ht="24">
      <c r="A186" s="163"/>
      <c r="B186" s="163"/>
      <c r="C186" s="194"/>
      <c r="D186" s="163"/>
      <c r="E186" s="163"/>
      <c r="F186" s="163"/>
      <c r="G186" s="163"/>
      <c r="H186" s="163"/>
      <c r="I186" s="202" t="s">
        <v>114</v>
      </c>
      <c r="L186" s="227"/>
      <c r="M186" s="227"/>
      <c r="N186" s="227"/>
      <c r="O186" s="227"/>
      <c r="P186" s="227"/>
    </row>
    <row r="187" spans="1:16" s="162" customFormat="1" ht="24">
      <c r="A187" s="163"/>
      <c r="B187" s="163"/>
      <c r="C187" s="194"/>
      <c r="D187" s="163"/>
      <c r="E187" s="163"/>
      <c r="F187" s="163"/>
      <c r="G187" s="163"/>
      <c r="H187" s="163"/>
      <c r="I187" s="163"/>
      <c r="L187" s="227"/>
      <c r="M187" s="227"/>
      <c r="N187" s="227"/>
      <c r="O187" s="227"/>
      <c r="P187" s="227"/>
    </row>
    <row r="188" spans="1:16" s="162" customFormat="1" ht="23.25">
      <c r="A188" s="336" t="s">
        <v>4</v>
      </c>
      <c r="B188" s="336"/>
      <c r="C188" s="336"/>
      <c r="D188" s="336"/>
      <c r="E188" s="336"/>
      <c r="F188" s="336"/>
      <c r="G188" s="336"/>
      <c r="H188" s="336"/>
      <c r="I188" s="336"/>
      <c r="L188" s="227"/>
      <c r="M188" s="227"/>
      <c r="N188" s="227"/>
      <c r="O188" s="227"/>
      <c r="P188" s="227"/>
    </row>
    <row r="189" spans="1:16" s="162" customFormat="1" ht="23.25">
      <c r="A189" s="336" t="s">
        <v>130</v>
      </c>
      <c r="B189" s="336"/>
      <c r="C189" s="336"/>
      <c r="D189" s="336"/>
      <c r="E189" s="336"/>
      <c r="F189" s="336"/>
      <c r="G189" s="336"/>
      <c r="H189" s="336"/>
      <c r="I189" s="336"/>
      <c r="L189" s="227"/>
      <c r="M189" s="227"/>
      <c r="N189" s="227"/>
      <c r="O189" s="227"/>
      <c r="P189" s="227"/>
    </row>
    <row r="190" spans="1:16" s="162" customFormat="1" ht="23.25">
      <c r="A190" s="336" t="s">
        <v>231</v>
      </c>
      <c r="B190" s="336"/>
      <c r="C190" s="336"/>
      <c r="D190" s="336"/>
      <c r="E190" s="336"/>
      <c r="F190" s="336"/>
      <c r="G190" s="336"/>
      <c r="H190" s="336"/>
      <c r="I190" s="336"/>
      <c r="L190" s="227"/>
      <c r="M190" s="227"/>
      <c r="N190" s="227"/>
      <c r="O190" s="227"/>
      <c r="P190" s="227"/>
    </row>
    <row r="191" spans="1:16" s="162" customFormat="1" ht="24">
      <c r="A191" s="336" t="s">
        <v>238</v>
      </c>
      <c r="B191" s="336"/>
      <c r="C191" s="336"/>
      <c r="D191" s="336"/>
      <c r="E191" s="336"/>
      <c r="F191" s="336"/>
      <c r="G191" s="336"/>
      <c r="H191" s="336"/>
      <c r="I191" s="336"/>
      <c r="L191" s="206"/>
      <c r="M191" s="206"/>
      <c r="N191" s="227"/>
      <c r="O191" s="227"/>
      <c r="P191" s="227"/>
    </row>
    <row r="192" spans="1:16" s="162" customFormat="1" ht="23.25">
      <c r="A192" s="338"/>
      <c r="B192" s="338"/>
      <c r="C192" s="338"/>
      <c r="D192" s="338"/>
      <c r="E192" s="338"/>
      <c r="F192" s="338"/>
      <c r="G192" s="338"/>
      <c r="H192" s="338"/>
      <c r="I192" s="338"/>
      <c r="L192" s="227"/>
      <c r="M192" s="227"/>
      <c r="N192" s="227"/>
      <c r="O192" s="227"/>
      <c r="P192" s="227"/>
    </row>
    <row r="193" spans="3:16" s="165" customFormat="1" ht="23.25">
      <c r="C193" s="336" t="s">
        <v>128</v>
      </c>
      <c r="D193" s="336"/>
      <c r="E193" s="336"/>
      <c r="G193" s="336" t="s">
        <v>67</v>
      </c>
      <c r="H193" s="336"/>
      <c r="I193" s="336"/>
      <c r="L193" s="203"/>
      <c r="M193" s="203"/>
      <c r="N193" s="203"/>
      <c r="O193" s="203"/>
      <c r="P193" s="203"/>
    </row>
    <row r="194" spans="3:16" s="165" customFormat="1" ht="23.25">
      <c r="C194" s="317"/>
      <c r="D194" s="310"/>
      <c r="E194" s="310"/>
      <c r="G194" s="310"/>
      <c r="H194" s="310"/>
      <c r="I194" s="310"/>
      <c r="L194" s="203"/>
      <c r="M194" s="203"/>
      <c r="N194" s="203"/>
      <c r="O194" s="203"/>
      <c r="P194" s="203"/>
    </row>
    <row r="195" spans="2:16" s="166" customFormat="1" ht="23.25">
      <c r="B195" s="166" t="s">
        <v>5</v>
      </c>
      <c r="C195" s="167">
        <v>2556</v>
      </c>
      <c r="E195" s="168">
        <v>2555</v>
      </c>
      <c r="G195" s="168">
        <v>2556</v>
      </c>
      <c r="I195" s="168">
        <v>2555</v>
      </c>
      <c r="L195" s="204"/>
      <c r="M195" s="204"/>
      <c r="N195" s="204"/>
      <c r="O195" s="204"/>
      <c r="P195" s="204"/>
    </row>
    <row r="196" spans="3:16" s="166" customFormat="1" ht="23.25">
      <c r="C196" s="317"/>
      <c r="D196" s="310"/>
      <c r="E196" s="310"/>
      <c r="F196" s="310"/>
      <c r="G196" s="310"/>
      <c r="H196" s="310"/>
      <c r="I196" s="310"/>
      <c r="L196" s="204"/>
      <c r="M196" s="204"/>
      <c r="N196" s="204"/>
      <c r="O196" s="204"/>
      <c r="P196" s="204"/>
    </row>
    <row r="197" spans="1:16" ht="24">
      <c r="A197" s="162" t="s">
        <v>30</v>
      </c>
      <c r="E197" s="172"/>
      <c r="L197" s="206"/>
      <c r="M197" s="206"/>
      <c r="N197" s="206"/>
      <c r="O197" s="206"/>
      <c r="P197" s="206"/>
    </row>
    <row r="198" spans="1:16" ht="24">
      <c r="A198" s="169" t="s">
        <v>31</v>
      </c>
      <c r="B198" s="173"/>
      <c r="C198" s="188">
        <f>ROUND(2814431736.25,0)</f>
        <v>2814431736</v>
      </c>
      <c r="D198" s="175"/>
      <c r="E198" s="174">
        <v>2474127175</v>
      </c>
      <c r="F198" s="178"/>
      <c r="G198" s="176">
        <f>ROUND(85469098660.5647,0)</f>
        <v>85469098661</v>
      </c>
      <c r="H198" s="176"/>
      <c r="I198" s="174">
        <v>77241805190</v>
      </c>
      <c r="J198" s="172"/>
      <c r="L198" s="207"/>
      <c r="M198" s="207"/>
      <c r="N198" s="187"/>
      <c r="O198" s="187"/>
      <c r="P198" s="206"/>
    </row>
    <row r="199" spans="1:16" ht="24" hidden="1">
      <c r="A199" s="169" t="s">
        <v>46</v>
      </c>
      <c r="B199" s="173"/>
      <c r="C199" s="188"/>
      <c r="D199" s="175"/>
      <c r="E199" s="188"/>
      <c r="F199" s="178"/>
      <c r="G199" s="176"/>
      <c r="H199" s="176"/>
      <c r="I199" s="174"/>
      <c r="J199" s="172"/>
      <c r="L199" s="207"/>
      <c r="M199" s="207"/>
      <c r="N199" s="187"/>
      <c r="O199" s="206"/>
      <c r="P199" s="206"/>
    </row>
    <row r="200" spans="1:16" ht="24">
      <c r="A200" s="169" t="s">
        <v>32</v>
      </c>
      <c r="B200" s="173"/>
      <c r="C200" s="188"/>
      <c r="D200" s="178"/>
      <c r="E200" s="188"/>
      <c r="F200" s="178"/>
      <c r="G200" s="172"/>
      <c r="H200" s="176"/>
      <c r="I200" s="188"/>
      <c r="J200" s="172"/>
      <c r="L200" s="207"/>
      <c r="M200" s="207"/>
      <c r="N200" s="187"/>
      <c r="O200" s="206"/>
      <c r="P200" s="206"/>
    </row>
    <row r="201" spans="1:16" ht="24">
      <c r="A201" s="169" t="s">
        <v>216</v>
      </c>
      <c r="B201" s="173">
        <v>19</v>
      </c>
      <c r="C201" s="188">
        <v>0</v>
      </c>
      <c r="D201" s="178"/>
      <c r="E201" s="188">
        <v>3516282</v>
      </c>
      <c r="F201" s="178"/>
      <c r="G201" s="176">
        <v>0</v>
      </c>
      <c r="H201" s="175"/>
      <c r="I201" s="174">
        <v>109910197</v>
      </c>
      <c r="J201" s="172"/>
      <c r="L201" s="207"/>
      <c r="M201" s="207"/>
      <c r="N201" s="187"/>
      <c r="O201" s="187"/>
      <c r="P201" s="206"/>
    </row>
    <row r="202" spans="1:16" ht="24">
      <c r="A202" s="169" t="s">
        <v>33</v>
      </c>
      <c r="B202" s="173"/>
      <c r="C202" s="188">
        <f>ROUND(121586560.1,0)</f>
        <v>121586560</v>
      </c>
      <c r="D202" s="175"/>
      <c r="E202" s="174">
        <v>99265116</v>
      </c>
      <c r="F202" s="180"/>
      <c r="G202" s="176">
        <f>ROUND(3687325643.57782,0)</f>
        <v>3687325644</v>
      </c>
      <c r="H202" s="175"/>
      <c r="I202" s="174">
        <v>3099130265</v>
      </c>
      <c r="J202" s="172"/>
      <c r="L202" s="207"/>
      <c r="M202" s="207"/>
      <c r="N202" s="187"/>
      <c r="O202" s="187"/>
      <c r="P202" s="206"/>
    </row>
    <row r="203" spans="1:16" ht="24">
      <c r="A203" s="169" t="s">
        <v>141</v>
      </c>
      <c r="B203" s="173"/>
      <c r="C203" s="188">
        <f>ROUND(4988333.42,0)</f>
        <v>4988333</v>
      </c>
      <c r="D203" s="175"/>
      <c r="E203" s="188">
        <f>2554871+339936-1</f>
        <v>2894806</v>
      </c>
      <c r="F203" s="180"/>
      <c r="G203" s="176">
        <f>ROUND(151836970.955832,0)</f>
        <v>151836971</v>
      </c>
      <c r="H203" s="175"/>
      <c r="I203" s="174">
        <f>75023971+10537632</f>
        <v>85561603</v>
      </c>
      <c r="J203" s="172"/>
      <c r="L203" s="207"/>
      <c r="M203" s="207"/>
      <c r="N203" s="187"/>
      <c r="O203" s="187"/>
      <c r="P203" s="206"/>
    </row>
    <row r="204" spans="1:16" ht="24">
      <c r="A204" s="169" t="s">
        <v>34</v>
      </c>
      <c r="B204" s="173"/>
      <c r="C204" s="188">
        <v>6913783</v>
      </c>
      <c r="D204" s="175"/>
      <c r="E204" s="188">
        <v>20425775</v>
      </c>
      <c r="F204" s="178"/>
      <c r="G204" s="176">
        <f>ROUND(207944099.917813,0)</f>
        <v>207944100</v>
      </c>
      <c r="H204" s="175"/>
      <c r="I204" s="174">
        <v>635449921</v>
      </c>
      <c r="J204" s="172"/>
      <c r="L204" s="207"/>
      <c r="M204" s="207"/>
      <c r="N204" s="187"/>
      <c r="O204" s="187"/>
      <c r="P204" s="206"/>
    </row>
    <row r="205" spans="1:16" ht="24">
      <c r="A205" s="169" t="s">
        <v>84</v>
      </c>
      <c r="B205" s="173"/>
      <c r="C205" s="188">
        <f>ROUND(80944130.84,0)</f>
        <v>80944131</v>
      </c>
      <c r="D205" s="178"/>
      <c r="E205" s="174">
        <f>434627304+ROUND(2922756.89,0)-ROUND(290361599.45,0)-1</f>
        <v>147188461</v>
      </c>
      <c r="F205" s="178"/>
      <c r="G205" s="176">
        <f>ROUND(2565488577.03675,0)</f>
        <v>2565488577</v>
      </c>
      <c r="H205" s="175"/>
      <c r="I205" s="174">
        <v>4488026399.999998</v>
      </c>
      <c r="L205" s="207"/>
      <c r="M205" s="210"/>
      <c r="N205" s="187"/>
      <c r="O205" s="187"/>
      <c r="P205" s="206"/>
    </row>
    <row r="206" spans="1:16" ht="24">
      <c r="A206" s="169" t="s">
        <v>204</v>
      </c>
      <c r="B206" s="173"/>
      <c r="C206" s="211">
        <f>SUM(C198:C205)</f>
        <v>3028864543</v>
      </c>
      <c r="D206" s="212"/>
      <c r="E206" s="211">
        <f>SUM(E198:E205)</f>
        <v>2747417615</v>
      </c>
      <c r="F206" s="213"/>
      <c r="G206" s="211">
        <f>SUM(G198:G205)</f>
        <v>92081693953</v>
      </c>
      <c r="H206" s="175"/>
      <c r="I206" s="211">
        <f>SUM(I198:I205)</f>
        <v>85659883576</v>
      </c>
      <c r="L206" s="214"/>
      <c r="M206" s="214"/>
      <c r="N206" s="187"/>
      <c r="O206" s="206"/>
      <c r="P206" s="206"/>
    </row>
    <row r="207" spans="1:16" ht="24">
      <c r="A207" s="162" t="s">
        <v>35</v>
      </c>
      <c r="B207" s="173"/>
      <c r="C207" s="174"/>
      <c r="D207" s="175"/>
      <c r="E207" s="174"/>
      <c r="F207" s="178"/>
      <c r="G207" s="172"/>
      <c r="H207" s="175"/>
      <c r="I207" s="188"/>
      <c r="L207" s="179"/>
      <c r="M207" s="179"/>
      <c r="N207" s="187"/>
      <c r="O207" s="206"/>
      <c r="P207" s="206"/>
    </row>
    <row r="208" spans="1:16" ht="24">
      <c r="A208" s="169" t="s">
        <v>79</v>
      </c>
      <c r="B208" s="173"/>
      <c r="C208" s="188">
        <f>ROUND(183966820.647396,0)</f>
        <v>183966821</v>
      </c>
      <c r="D208" s="175"/>
      <c r="E208" s="174">
        <v>144119791</v>
      </c>
      <c r="F208" s="178"/>
      <c r="G208" s="176">
        <f>ROUND(5597576417.99344,0)</f>
        <v>5597576418</v>
      </c>
      <c r="H208" s="175"/>
      <c r="I208" s="174">
        <v>4489790155</v>
      </c>
      <c r="J208" s="172"/>
      <c r="L208" s="207"/>
      <c r="M208" s="207"/>
      <c r="N208" s="187"/>
      <c r="O208" s="187"/>
      <c r="P208" s="206"/>
    </row>
    <row r="209" spans="1:16" ht="24">
      <c r="A209" s="169" t="s">
        <v>85</v>
      </c>
      <c r="B209" s="173"/>
      <c r="C209" s="188">
        <f>ROUND(3858330.13,0)</f>
        <v>3858330</v>
      </c>
      <c r="D209" s="175"/>
      <c r="E209" s="174">
        <v>19894607</v>
      </c>
      <c r="F209" s="178"/>
      <c r="G209" s="176">
        <f>ROUND(118832454.799049,0)</f>
        <v>118832455</v>
      </c>
      <c r="H209" s="175"/>
      <c r="I209" s="174">
        <v>626075099</v>
      </c>
      <c r="J209" s="172"/>
      <c r="L209" s="207"/>
      <c r="M209" s="207"/>
      <c r="N209" s="187"/>
      <c r="O209" s="187"/>
      <c r="P209" s="206"/>
    </row>
    <row r="210" spans="1:16" ht="24">
      <c r="A210" s="169" t="s">
        <v>95</v>
      </c>
      <c r="B210" s="173"/>
      <c r="C210" s="188">
        <v>101833727</v>
      </c>
      <c r="D210" s="175"/>
      <c r="E210" s="174">
        <f>85924672-ROUND(1931124.7,0)+1</f>
        <v>83993548</v>
      </c>
      <c r="F210" s="178"/>
      <c r="G210" s="176">
        <f>ROUND(3102944008.61002,0)</f>
        <v>3102944009</v>
      </c>
      <c r="H210" s="175"/>
      <c r="I210" s="174">
        <f>2680432071-ROUND(60261631.78,0)-1</f>
        <v>2620170438</v>
      </c>
      <c r="J210" s="172"/>
      <c r="L210" s="207"/>
      <c r="M210" s="207"/>
      <c r="N210" s="187"/>
      <c r="O210" s="187"/>
      <c r="P210" s="206"/>
    </row>
    <row r="211" spans="1:16" ht="24">
      <c r="A211" s="169" t="s">
        <v>80</v>
      </c>
      <c r="B211" s="173">
        <v>20</v>
      </c>
      <c r="C211" s="188">
        <f>ROUND(351805105.8,0)</f>
        <v>351805106</v>
      </c>
      <c r="D211" s="175"/>
      <c r="E211" s="174">
        <f>309252887</f>
        <v>309252887</v>
      </c>
      <c r="F211" s="178"/>
      <c r="G211" s="176">
        <f>ROUND(10686023248.4665,0)</f>
        <v>10686023248</v>
      </c>
      <c r="H211" s="175"/>
      <c r="I211" s="174">
        <f>9654814846</f>
        <v>9654814846</v>
      </c>
      <c r="J211" s="172"/>
      <c r="L211" s="207"/>
      <c r="M211" s="207"/>
      <c r="N211" s="187"/>
      <c r="O211" s="187"/>
      <c r="P211" s="206"/>
    </row>
    <row r="212" spans="1:16" ht="24">
      <c r="A212" s="169" t="s">
        <v>86</v>
      </c>
      <c r="B212" s="173"/>
      <c r="C212" s="188">
        <f>ROUND(641664447.31,0)</f>
        <v>641664447</v>
      </c>
      <c r="D212" s="175"/>
      <c r="E212" s="174">
        <f>500356555-ROUND(2922756.89,0)</f>
        <v>497433798</v>
      </c>
      <c r="F212" s="178"/>
      <c r="G212" s="176">
        <f>ROUND(19492950553.9025,0)</f>
        <v>19492950554</v>
      </c>
      <c r="H212" s="175"/>
      <c r="I212" s="174">
        <f>15549291979+1</f>
        <v>15549291980</v>
      </c>
      <c r="J212" s="172"/>
      <c r="L212" s="207"/>
      <c r="M212" s="207"/>
      <c r="N212" s="187"/>
      <c r="O212" s="187"/>
      <c r="P212" s="206"/>
    </row>
    <row r="213" spans="1:16" ht="24">
      <c r="A213" s="169" t="s">
        <v>36</v>
      </c>
      <c r="B213" s="173"/>
      <c r="C213" s="174"/>
      <c r="D213" s="175"/>
      <c r="E213" s="174"/>
      <c r="F213" s="178"/>
      <c r="G213" s="176"/>
      <c r="H213" s="175"/>
      <c r="I213" s="176"/>
      <c r="J213" s="172"/>
      <c r="L213" s="179"/>
      <c r="M213" s="179"/>
      <c r="N213" s="187"/>
      <c r="O213" s="206"/>
      <c r="P213" s="206"/>
    </row>
    <row r="214" spans="1:16" ht="24">
      <c r="A214" s="169" t="s">
        <v>221</v>
      </c>
      <c r="B214" s="173">
        <v>19</v>
      </c>
      <c r="C214" s="188">
        <f>ROUND(7705628.48,0)</f>
        <v>7705628</v>
      </c>
      <c r="D214" s="175"/>
      <c r="E214" s="174">
        <v>0</v>
      </c>
      <c r="F214" s="178"/>
      <c r="G214" s="172">
        <f>ROUND(297564125.719823,0)</f>
        <v>297564126</v>
      </c>
      <c r="H214" s="175"/>
      <c r="I214" s="174">
        <v>0</v>
      </c>
      <c r="J214" s="172"/>
      <c r="L214" s="207"/>
      <c r="M214" s="207"/>
      <c r="N214" s="187"/>
      <c r="O214" s="187"/>
      <c r="P214" s="206"/>
    </row>
    <row r="215" spans="1:16" ht="24" hidden="1">
      <c r="A215" s="169" t="s">
        <v>110</v>
      </c>
      <c r="B215" s="173"/>
      <c r="C215" s="188"/>
      <c r="D215" s="175"/>
      <c r="E215" s="174"/>
      <c r="F215" s="178"/>
      <c r="G215" s="176"/>
      <c r="H215" s="175"/>
      <c r="I215" s="174"/>
      <c r="J215" s="172"/>
      <c r="L215" s="207"/>
      <c r="M215" s="207"/>
      <c r="N215" s="187"/>
      <c r="O215" s="206"/>
      <c r="P215" s="206"/>
    </row>
    <row r="216" spans="1:16" ht="24" hidden="1">
      <c r="A216" s="169" t="s">
        <v>89</v>
      </c>
      <c r="B216" s="173"/>
      <c r="C216" s="4"/>
      <c r="D216" s="175"/>
      <c r="E216" s="174"/>
      <c r="F216" s="178"/>
      <c r="G216" s="100"/>
      <c r="H216" s="175"/>
      <c r="I216" s="174"/>
      <c r="L216" s="65"/>
      <c r="M216" s="65"/>
      <c r="N216" s="187"/>
      <c r="O216" s="206"/>
      <c r="P216" s="206"/>
    </row>
    <row r="217" spans="1:16" ht="24" hidden="1">
      <c r="A217" s="169" t="s">
        <v>240</v>
      </c>
      <c r="B217" s="173"/>
      <c r="C217" s="188"/>
      <c r="D217" s="175"/>
      <c r="E217" s="174"/>
      <c r="F217" s="178"/>
      <c r="G217" s="172"/>
      <c r="H217" s="175"/>
      <c r="I217" s="174"/>
      <c r="L217" s="207"/>
      <c r="M217" s="207"/>
      <c r="N217" s="187"/>
      <c r="O217" s="206"/>
      <c r="P217" s="206"/>
    </row>
    <row r="218" spans="1:16" ht="24">
      <c r="A218" s="169" t="s">
        <v>96</v>
      </c>
      <c r="B218" s="173">
        <v>9.1</v>
      </c>
      <c r="C218" s="207">
        <f>ROUND(2033985.35+2653977.75011634,0)</f>
        <v>4687963</v>
      </c>
      <c r="D218" s="175"/>
      <c r="E218" s="188">
        <f>1405819+ROUND(1931124.7,0)</f>
        <v>3336944</v>
      </c>
      <c r="F218" s="178"/>
      <c r="G218" s="176">
        <f>ROUND(140624278.233344,0)</f>
        <v>140624278</v>
      </c>
      <c r="H218" s="175"/>
      <c r="I218" s="174">
        <f>43875891+ROUND(60261631.78,0)</f>
        <v>104137523</v>
      </c>
      <c r="L218" s="207"/>
      <c r="M218" s="187"/>
      <c r="N218" s="187"/>
      <c r="O218" s="187"/>
      <c r="P218" s="206"/>
    </row>
    <row r="219" spans="1:16" ht="24" hidden="1">
      <c r="A219" s="169" t="s">
        <v>241</v>
      </c>
      <c r="B219" s="173"/>
      <c r="C219" s="174"/>
      <c r="D219" s="175"/>
      <c r="E219" s="174"/>
      <c r="F219" s="178"/>
      <c r="G219" s="176"/>
      <c r="H219" s="175"/>
      <c r="I219" s="176"/>
      <c r="L219" s="179"/>
      <c r="M219" s="179"/>
      <c r="N219" s="187"/>
      <c r="O219" s="206"/>
      <c r="P219" s="206"/>
    </row>
    <row r="220" spans="1:16" ht="24">
      <c r="A220" s="169" t="s">
        <v>150</v>
      </c>
      <c r="B220" s="173"/>
      <c r="C220" s="181">
        <f>ROUND(35047045.72,0)</f>
        <v>35047046</v>
      </c>
      <c r="D220" s="175"/>
      <c r="E220" s="174">
        <v>47763627</v>
      </c>
      <c r="F220" s="178"/>
      <c r="G220" s="182">
        <f>ROUND(1064316244.56367,0)</f>
        <v>1064316245</v>
      </c>
      <c r="H220" s="175"/>
      <c r="I220" s="179">
        <v>1490723259</v>
      </c>
      <c r="J220" s="172"/>
      <c r="L220" s="179"/>
      <c r="M220" s="179"/>
      <c r="N220" s="187"/>
      <c r="O220" s="187"/>
      <c r="P220" s="206"/>
    </row>
    <row r="221" spans="1:16" ht="24">
      <c r="A221" s="169" t="s">
        <v>205</v>
      </c>
      <c r="B221" s="173"/>
      <c r="C221" s="211">
        <f>SUM(C208:C220)</f>
        <v>1330569068</v>
      </c>
      <c r="D221" s="212"/>
      <c r="E221" s="211">
        <f>SUM(E208:E220)</f>
        <v>1105795202</v>
      </c>
      <c r="F221" s="213"/>
      <c r="G221" s="197">
        <f>SUM(G208:G220)</f>
        <v>40500831333</v>
      </c>
      <c r="H221" s="212"/>
      <c r="I221" s="197">
        <f>SUM(I208:I220)</f>
        <v>34535003300</v>
      </c>
      <c r="L221" s="214"/>
      <c r="M221" s="214"/>
      <c r="N221" s="187"/>
      <c r="O221" s="206"/>
      <c r="P221" s="206"/>
    </row>
    <row r="222" spans="1:16" ht="24">
      <c r="A222" s="162" t="s">
        <v>94</v>
      </c>
      <c r="B222" s="173"/>
      <c r="C222" s="215">
        <f>C206-C221</f>
        <v>1698295475</v>
      </c>
      <c r="D222" s="212"/>
      <c r="E222" s="215">
        <f>E206-E221</f>
        <v>1641622413</v>
      </c>
      <c r="F222" s="213"/>
      <c r="G222" s="212">
        <f>G206-G221</f>
        <v>51580862620</v>
      </c>
      <c r="H222" s="212"/>
      <c r="I222" s="212">
        <f>I206-I221</f>
        <v>51124880276</v>
      </c>
      <c r="L222" s="214"/>
      <c r="M222" s="214"/>
      <c r="N222" s="187"/>
      <c r="O222" s="206"/>
      <c r="P222" s="206"/>
    </row>
    <row r="223" spans="1:16" ht="24">
      <c r="A223" s="169" t="s">
        <v>156</v>
      </c>
      <c r="B223" s="173"/>
      <c r="C223" s="181">
        <f>ROUND(-619143381.34,0)</f>
        <v>-619143381</v>
      </c>
      <c r="D223" s="187"/>
      <c r="E223" s="181">
        <v>-519255596</v>
      </c>
      <c r="F223" s="178"/>
      <c r="G223" s="176">
        <f>ROUND(-18825661650.015,0)</f>
        <v>-18825661650</v>
      </c>
      <c r="H223" s="187"/>
      <c r="I223" s="174">
        <v>-16229139179</v>
      </c>
      <c r="J223" s="172"/>
      <c r="L223" s="179"/>
      <c r="M223" s="179"/>
      <c r="N223" s="187"/>
      <c r="O223" s="187"/>
      <c r="P223" s="206"/>
    </row>
    <row r="224" spans="1:16" ht="24.75" thickBot="1">
      <c r="A224" s="162" t="s">
        <v>148</v>
      </c>
      <c r="B224" s="173"/>
      <c r="C224" s="216">
        <f>SUM(C222:C223)</f>
        <v>1079152094</v>
      </c>
      <c r="D224" s="189"/>
      <c r="E224" s="216">
        <f>SUM(E222:E223)</f>
        <v>1122366817</v>
      </c>
      <c r="F224" s="189"/>
      <c r="G224" s="216">
        <f>SUM(G222:G223)</f>
        <v>32755200970</v>
      </c>
      <c r="H224" s="189"/>
      <c r="I224" s="216">
        <f>SUM(I222:I223)</f>
        <v>34895741097</v>
      </c>
      <c r="L224" s="217"/>
      <c r="M224" s="217"/>
      <c r="N224" s="187"/>
      <c r="O224" s="206"/>
      <c r="P224" s="206"/>
    </row>
    <row r="225" spans="1:16" ht="24">
      <c r="A225" s="162"/>
      <c r="B225" s="173"/>
      <c r="C225" s="217"/>
      <c r="D225" s="175"/>
      <c r="E225" s="189"/>
      <c r="F225" s="218"/>
      <c r="G225" s="189"/>
      <c r="H225" s="218"/>
      <c r="I225" s="189"/>
      <c r="L225" s="206"/>
      <c r="M225" s="206"/>
      <c r="N225" s="206"/>
      <c r="O225" s="206"/>
      <c r="P225" s="206"/>
    </row>
    <row r="226" spans="1:16" ht="24">
      <c r="A226" s="162" t="s">
        <v>44</v>
      </c>
      <c r="B226" s="163">
        <v>21</v>
      </c>
      <c r="C226" s="219"/>
      <c r="D226" s="220"/>
      <c r="E226" s="220"/>
      <c r="F226" s="221"/>
      <c r="G226" s="222"/>
      <c r="H226" s="220"/>
      <c r="I226" s="222"/>
      <c r="L226" s="206"/>
      <c r="M226" s="206"/>
      <c r="N226" s="206"/>
      <c r="O226" s="206"/>
      <c r="P226" s="206"/>
    </row>
    <row r="227" spans="1:12" ht="24">
      <c r="A227" s="162"/>
      <c r="B227" s="169" t="s">
        <v>242</v>
      </c>
      <c r="C227" s="223"/>
      <c r="D227" s="221"/>
      <c r="E227" s="221"/>
      <c r="F227" s="221"/>
      <c r="G227" s="222"/>
      <c r="H227" s="221"/>
      <c r="I227" s="222"/>
      <c r="L227" s="206"/>
    </row>
    <row r="228" spans="1:12" ht="24">
      <c r="A228" s="169" t="s">
        <v>37</v>
      </c>
      <c r="C228" s="224">
        <f>(+C224+'Equity_Change_The Company'!N39)/G95</f>
        <v>0.2700340885384616</v>
      </c>
      <c r="D228" s="225"/>
      <c r="E228" s="224">
        <f>(E224+'Equity_Change_The Company'!N20)/3319985400</f>
        <v>0.3373471552013452</v>
      </c>
      <c r="F228" s="225"/>
      <c r="G228" s="225">
        <f>(G224+'Equity_Change_The Company'!N85)/G95</f>
        <v>8.195725096117481</v>
      </c>
      <c r="H228" s="225"/>
      <c r="I228" s="224">
        <f>(I224+'Equity_Change_The Company'!N65)/3319985400</f>
        <v>10.488596997745834</v>
      </c>
      <c r="L228" s="206"/>
    </row>
    <row r="229" spans="1:12" ht="24">
      <c r="A229" s="169" t="s">
        <v>72</v>
      </c>
      <c r="C229" s="224">
        <f>(+C224+'Equity_Change_The Company'!N39)/G95</f>
        <v>0.2700340885384616</v>
      </c>
      <c r="D229" s="225"/>
      <c r="E229" s="224">
        <f>(E224+'Equity_Change_The Company'!N20)/3319985400</f>
        <v>0.3373471552013452</v>
      </c>
      <c r="F229" s="225"/>
      <c r="G229" s="225">
        <f>(G224+'Equity_Change_The Company'!N85)/G95</f>
        <v>8.195725096117481</v>
      </c>
      <c r="H229" s="225"/>
      <c r="I229" s="224">
        <f>(I224+'Equity_Change_The Company'!N65)/3319985400</f>
        <v>10.488596997745834</v>
      </c>
      <c r="L229" s="206"/>
    </row>
    <row r="230" spans="3:12" ht="24">
      <c r="C230" s="219"/>
      <c r="D230" s="220"/>
      <c r="E230" s="220"/>
      <c r="F230" s="221"/>
      <c r="G230" s="226"/>
      <c r="H230" s="220"/>
      <c r="I230" s="222"/>
      <c r="L230" s="206"/>
    </row>
    <row r="231" spans="1:12" ht="24">
      <c r="A231" s="172" t="str">
        <f>A182</f>
        <v>หมายเหตุประกอบข้อมูลทางการเงินระหว่างกาลเป็นส่วนหนึ่งของข้อมูลทางการเงินนี้       </v>
      </c>
      <c r="C231" s="219"/>
      <c r="D231" s="220"/>
      <c r="F231" s="221"/>
      <c r="G231" s="222"/>
      <c r="H231" s="220"/>
      <c r="I231" s="222"/>
      <c r="L231" s="206"/>
    </row>
    <row r="232" spans="1:12" ht="27.75">
      <c r="A232" s="337">
        <v>14</v>
      </c>
      <c r="B232" s="337"/>
      <c r="C232" s="337"/>
      <c r="D232" s="337"/>
      <c r="E232" s="337"/>
      <c r="F232" s="337"/>
      <c r="G232" s="337"/>
      <c r="H232" s="337"/>
      <c r="I232" s="337"/>
      <c r="L232" s="206"/>
    </row>
    <row r="233" spans="1:12" s="162" customFormat="1" ht="24">
      <c r="A233" s="163"/>
      <c r="B233" s="163"/>
      <c r="C233" s="194"/>
      <c r="D233" s="163"/>
      <c r="E233" s="163"/>
      <c r="F233" s="163"/>
      <c r="G233" s="163"/>
      <c r="H233" s="163"/>
      <c r="I233" s="202" t="s">
        <v>113</v>
      </c>
      <c r="L233" s="227"/>
    </row>
    <row r="234" spans="1:12" s="162" customFormat="1" ht="24">
      <c r="A234" s="163"/>
      <c r="B234" s="163"/>
      <c r="C234" s="194"/>
      <c r="D234" s="163"/>
      <c r="E234" s="163"/>
      <c r="F234" s="163"/>
      <c r="G234" s="163"/>
      <c r="H234" s="163"/>
      <c r="I234" s="202" t="s">
        <v>114</v>
      </c>
      <c r="L234" s="227"/>
    </row>
    <row r="235" spans="1:12" s="162" customFormat="1" ht="24">
      <c r="A235" s="163"/>
      <c r="B235" s="163"/>
      <c r="C235" s="194"/>
      <c r="D235" s="163"/>
      <c r="E235" s="163"/>
      <c r="F235" s="163"/>
      <c r="G235" s="163"/>
      <c r="H235" s="163"/>
      <c r="I235" s="163"/>
      <c r="L235" s="227"/>
    </row>
    <row r="236" spans="1:12" s="162" customFormat="1" ht="23.25">
      <c r="A236" s="336" t="s">
        <v>4</v>
      </c>
      <c r="B236" s="336"/>
      <c r="C236" s="336"/>
      <c r="D236" s="336"/>
      <c r="E236" s="336"/>
      <c r="F236" s="336"/>
      <c r="G236" s="336"/>
      <c r="H236" s="336"/>
      <c r="I236" s="336"/>
      <c r="L236" s="227"/>
    </row>
    <row r="237" spans="1:12" s="162" customFormat="1" ht="23.25">
      <c r="A237" s="336" t="s">
        <v>115</v>
      </c>
      <c r="B237" s="336"/>
      <c r="C237" s="336"/>
      <c r="D237" s="336"/>
      <c r="E237" s="336"/>
      <c r="F237" s="336"/>
      <c r="G237" s="336"/>
      <c r="H237" s="336"/>
      <c r="I237" s="336"/>
      <c r="L237" s="227"/>
    </row>
    <row r="238" spans="1:12" s="162" customFormat="1" ht="23.25">
      <c r="A238" s="336" t="str">
        <f>+A190</f>
        <v>สำหรับงวดเก้าเดือนสิ้นสุดวันที่ 30 กันยายน 2556</v>
      </c>
      <c r="B238" s="336"/>
      <c r="C238" s="336"/>
      <c r="D238" s="336"/>
      <c r="E238" s="336"/>
      <c r="F238" s="336"/>
      <c r="G238" s="336"/>
      <c r="H238" s="336"/>
      <c r="I238" s="336"/>
      <c r="L238" s="227"/>
    </row>
    <row r="239" spans="1:12" s="162" customFormat="1" ht="23.25">
      <c r="A239" s="336" t="s">
        <v>238</v>
      </c>
      <c r="B239" s="336"/>
      <c r="C239" s="336"/>
      <c r="D239" s="336"/>
      <c r="E239" s="336"/>
      <c r="F239" s="336"/>
      <c r="G239" s="336"/>
      <c r="H239" s="336"/>
      <c r="I239" s="336"/>
      <c r="L239" s="227"/>
    </row>
    <row r="240" spans="1:12" s="162" customFormat="1" ht="23.25">
      <c r="A240" s="338"/>
      <c r="B240" s="338"/>
      <c r="C240" s="338"/>
      <c r="D240" s="338"/>
      <c r="E240" s="338"/>
      <c r="F240" s="338"/>
      <c r="G240" s="338"/>
      <c r="H240" s="338"/>
      <c r="I240" s="338"/>
      <c r="L240" s="227"/>
    </row>
    <row r="241" spans="3:12" s="165" customFormat="1" ht="23.25">
      <c r="C241" s="336" t="s">
        <v>128</v>
      </c>
      <c r="D241" s="336"/>
      <c r="E241" s="336"/>
      <c r="G241" s="336" t="s">
        <v>67</v>
      </c>
      <c r="H241" s="336"/>
      <c r="I241" s="336"/>
      <c r="L241" s="203"/>
    </row>
    <row r="242" spans="3:12" s="165" customFormat="1" ht="23.25">
      <c r="C242" s="317"/>
      <c r="D242" s="310"/>
      <c r="E242" s="310"/>
      <c r="G242" s="310"/>
      <c r="H242" s="310"/>
      <c r="I242" s="310"/>
      <c r="L242" s="203"/>
    </row>
    <row r="243" spans="3:13" s="166" customFormat="1" ht="23.25">
      <c r="C243" s="167">
        <v>2556</v>
      </c>
      <c r="E243" s="168">
        <v>2555</v>
      </c>
      <c r="G243" s="168">
        <v>2556</v>
      </c>
      <c r="I243" s="168">
        <v>2555</v>
      </c>
      <c r="L243" s="204"/>
      <c r="M243" s="204"/>
    </row>
    <row r="244" spans="3:13" s="166" customFormat="1" ht="23.25">
      <c r="C244" s="317"/>
      <c r="D244" s="310"/>
      <c r="E244" s="310"/>
      <c r="F244" s="310"/>
      <c r="G244" s="310"/>
      <c r="H244" s="310"/>
      <c r="I244" s="310"/>
      <c r="L244" s="204"/>
      <c r="M244" s="204"/>
    </row>
    <row r="245" spans="3:13" s="166" customFormat="1" ht="23.25">
      <c r="C245" s="231"/>
      <c r="E245" s="232"/>
      <c r="G245" s="232"/>
      <c r="I245" s="233"/>
      <c r="L245" s="204"/>
      <c r="M245" s="204"/>
    </row>
    <row r="246" spans="1:13" ht="24">
      <c r="A246" s="162" t="s">
        <v>148</v>
      </c>
      <c r="C246" s="193">
        <f>C224</f>
        <v>1079152094</v>
      </c>
      <c r="D246" s="162"/>
      <c r="E246" s="193">
        <v>1122366817</v>
      </c>
      <c r="F246" s="162"/>
      <c r="G246" s="183">
        <f>G224</f>
        <v>32755200970</v>
      </c>
      <c r="H246" s="162"/>
      <c r="I246" s="193">
        <v>34895741097</v>
      </c>
      <c r="L246" s="217"/>
      <c r="M246" s="187"/>
    </row>
    <row r="247" spans="1:13" ht="24">
      <c r="A247" s="162" t="s">
        <v>167</v>
      </c>
      <c r="C247" s="188"/>
      <c r="E247" s="188"/>
      <c r="G247" s="172"/>
      <c r="I247" s="188"/>
      <c r="L247" s="217"/>
      <c r="M247" s="187"/>
    </row>
    <row r="248" spans="1:15" ht="24">
      <c r="A248" s="172" t="s">
        <v>117</v>
      </c>
      <c r="C248" s="188">
        <v>0</v>
      </c>
      <c r="E248" s="188">
        <v>0</v>
      </c>
      <c r="G248" s="172">
        <f>'Equity_Change_The Company'!$P$87</f>
        <v>6801488669</v>
      </c>
      <c r="I248" s="188">
        <v>-4236263308</v>
      </c>
      <c r="L248" s="217"/>
      <c r="M248" s="187"/>
      <c r="N248" s="187"/>
      <c r="O248" s="187"/>
    </row>
    <row r="249" spans="1:15" ht="24">
      <c r="A249" s="172" t="s">
        <v>210</v>
      </c>
      <c r="C249" s="188">
        <v>13369598.09</v>
      </c>
      <c r="E249" s="188">
        <v>-27512390</v>
      </c>
      <c r="G249" s="172">
        <f>'Equity_Change_The Company'!$R$87</f>
        <v>404039555</v>
      </c>
      <c r="I249" s="188">
        <v>-851162273.02</v>
      </c>
      <c r="L249" s="217"/>
      <c r="M249" s="187"/>
      <c r="N249" s="187"/>
      <c r="O249" s="187"/>
    </row>
    <row r="250" spans="1:15" ht="24">
      <c r="A250" s="172" t="s">
        <v>149</v>
      </c>
      <c r="C250" s="188">
        <v>-2673919.62</v>
      </c>
      <c r="E250" s="188">
        <v>5495233</v>
      </c>
      <c r="G250" s="172">
        <f>'Equity_Change_The Company'!$T$87</f>
        <v>-81893723</v>
      </c>
      <c r="I250" s="188">
        <v>168668463.02</v>
      </c>
      <c r="L250" s="217"/>
      <c r="M250" s="187"/>
      <c r="N250" s="187"/>
      <c r="O250" s="187"/>
    </row>
    <row r="251" spans="1:13" ht="24">
      <c r="A251" s="162" t="s">
        <v>132</v>
      </c>
      <c r="C251" s="234">
        <f>SUM(C248:C250)</f>
        <v>10695678.469999999</v>
      </c>
      <c r="D251" s="162"/>
      <c r="E251" s="234">
        <f>SUM(E248:E250)</f>
        <v>-22017157</v>
      </c>
      <c r="F251" s="162"/>
      <c r="G251" s="234">
        <f>SUM(G248:G250)</f>
        <v>7123634501</v>
      </c>
      <c r="H251" s="162"/>
      <c r="I251" s="234">
        <f>SUM(I248:I250)</f>
        <v>-4918757118</v>
      </c>
      <c r="L251" s="217"/>
      <c r="M251" s="187"/>
    </row>
    <row r="252" spans="1:13" ht="24.75" thickBot="1">
      <c r="A252" s="162" t="s">
        <v>131</v>
      </c>
      <c r="C252" s="216">
        <f>SUM(C246:C250)</f>
        <v>1089847772.47</v>
      </c>
      <c r="D252" s="162"/>
      <c r="E252" s="216">
        <f>SUM(E246:E250)</f>
        <v>1100349660</v>
      </c>
      <c r="F252" s="162"/>
      <c r="G252" s="216">
        <f>SUM(G246:G250)</f>
        <v>39878835471</v>
      </c>
      <c r="H252" s="162"/>
      <c r="I252" s="216">
        <f>SUM(I246:I250)</f>
        <v>29976983979</v>
      </c>
      <c r="L252" s="217"/>
      <c r="M252" s="187"/>
    </row>
    <row r="253" spans="1:13" ht="24">
      <c r="A253" s="162"/>
      <c r="C253" s="235" t="s">
        <v>243</v>
      </c>
      <c r="D253" s="236"/>
      <c r="E253" s="235">
        <f>+E252-'Equity_Change_The Company'!V22</f>
        <v>0</v>
      </c>
      <c r="F253" s="236"/>
      <c r="G253" s="235">
        <f>+G252-'Equity_Change_The Company'!X87</f>
        <v>0</v>
      </c>
      <c r="H253" s="236"/>
      <c r="I253" s="235">
        <f>+I252-'Equity_Change_The Company'!X67</f>
        <v>0</v>
      </c>
      <c r="L253" s="206"/>
      <c r="M253" s="206"/>
    </row>
    <row r="254" spans="3:13" ht="24">
      <c r="C254" s="235" t="s">
        <v>244</v>
      </c>
      <c r="D254" s="237"/>
      <c r="E254" s="237">
        <f>+E251-'Equity_Change_The Company'!T22</f>
        <v>0</v>
      </c>
      <c r="F254" s="237"/>
      <c r="G254" s="237">
        <f>+G251-'Equity_Change_The Company'!V87</f>
        <v>0</v>
      </c>
      <c r="H254" s="237"/>
      <c r="I254" s="237">
        <f>+I251-'Equity_Change_The Company'!V67</f>
        <v>0</v>
      </c>
      <c r="L254" s="206"/>
      <c r="M254" s="206"/>
    </row>
    <row r="255" spans="1:9" ht="24">
      <c r="A255" s="188" t="str">
        <f>A231</f>
        <v>หมายเหตุประกอบข้อมูลทางการเงินระหว่างกาลเป็นส่วนหนึ่งของข้อมูลทางการเงินนี้       </v>
      </c>
      <c r="C255" s="122"/>
      <c r="D255" s="96"/>
      <c r="E255" s="96"/>
      <c r="F255" s="96"/>
      <c r="G255" s="96"/>
      <c r="H255" s="96"/>
      <c r="I255" s="96"/>
    </row>
    <row r="256" spans="3:7" ht="24">
      <c r="C256" s="188"/>
      <c r="G256" s="172"/>
    </row>
    <row r="257" spans="3:7" ht="24">
      <c r="C257" s="188"/>
      <c r="G257" s="172"/>
    </row>
  </sheetData>
  <sheetProtection/>
  <mergeCells count="50">
    <mergeCell ref="A52:I52"/>
    <mergeCell ref="A1:I1"/>
    <mergeCell ref="C2:E2"/>
    <mergeCell ref="G2:I2"/>
    <mergeCell ref="A3:I3"/>
    <mergeCell ref="A4:I4"/>
    <mergeCell ref="A5:I5"/>
    <mergeCell ref="A6:I6"/>
    <mergeCell ref="C8:E8"/>
    <mergeCell ref="G8:I8"/>
    <mergeCell ref="A48:C48"/>
    <mergeCell ref="E48:G48"/>
    <mergeCell ref="A118:I118"/>
    <mergeCell ref="A54:I54"/>
    <mergeCell ref="A55:I55"/>
    <mergeCell ref="A56:I56"/>
    <mergeCell ref="A57:I57"/>
    <mergeCell ref="C59:E59"/>
    <mergeCell ref="G59:I59"/>
    <mergeCell ref="A110:I110"/>
    <mergeCell ref="A114:I114"/>
    <mergeCell ref="A115:I115"/>
    <mergeCell ref="A116:I116"/>
    <mergeCell ref="A117:I117"/>
    <mergeCell ref="A188:I188"/>
    <mergeCell ref="C119:E119"/>
    <mergeCell ref="G119:I119"/>
    <mergeCell ref="A159:I159"/>
    <mergeCell ref="A163:I163"/>
    <mergeCell ref="A164:I164"/>
    <mergeCell ref="A165:I165"/>
    <mergeCell ref="A166:I166"/>
    <mergeCell ref="A167:I167"/>
    <mergeCell ref="C168:E168"/>
    <mergeCell ref="G168:I168"/>
    <mergeCell ref="A184:I184"/>
    <mergeCell ref="A189:I189"/>
    <mergeCell ref="A190:I190"/>
    <mergeCell ref="A191:I191"/>
    <mergeCell ref="A192:I192"/>
    <mergeCell ref="C193:E193"/>
    <mergeCell ref="G193:I193"/>
    <mergeCell ref="C241:E241"/>
    <mergeCell ref="G241:I241"/>
    <mergeCell ref="A232:I232"/>
    <mergeCell ref="A236:I236"/>
    <mergeCell ref="A237:I237"/>
    <mergeCell ref="A238:I238"/>
    <mergeCell ref="A239:I239"/>
    <mergeCell ref="A240:I240"/>
  </mergeCells>
  <printOptions/>
  <pageMargins left="0.7480314960629921" right="0.15748031496062992" top="0.4330708661417323" bottom="0.35433070866141736" header="0.2362204724409449" footer="0.11811023622047245"/>
  <pageSetup horizontalDpi="600" verticalDpi="600" orientation="portrait" paperSize="9" scale="64" r:id="rId1"/>
  <rowBreaks count="5" manualBreakCount="5">
    <brk id="51" max="255" man="1"/>
    <brk id="109" max="255" man="1"/>
    <brk id="158" max="9" man="1"/>
    <brk id="183" max="9" man="1"/>
    <brk id="2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B94"/>
  <sheetViews>
    <sheetView zoomScale="90" zoomScaleNormal="90" zoomScaleSheetLayoutView="70" zoomScalePageLayoutView="90" workbookViewId="0" topLeftCell="A1">
      <selection activeCell="L254" sqref="L254"/>
    </sheetView>
  </sheetViews>
  <sheetFormatPr defaultColWidth="9.140625" defaultRowHeight="21.75"/>
  <cols>
    <col min="1" max="1" width="44.8515625" style="2" customWidth="1"/>
    <col min="2" max="2" width="9.421875" style="67" customWidth="1"/>
    <col min="3" max="3" width="1.8515625" style="2" customWidth="1"/>
    <col min="4" max="4" width="16.57421875" style="2" bestFit="1" customWidth="1"/>
    <col min="5" max="5" width="1.7109375" style="157" customWidth="1"/>
    <col min="6" max="6" width="18.28125" style="2" customWidth="1"/>
    <col min="7" max="7" width="1.7109375" style="157" customWidth="1"/>
    <col min="8" max="8" width="19.00390625" style="2" customWidth="1"/>
    <col min="9" max="9" width="2.57421875" style="157" customWidth="1"/>
    <col min="10" max="10" width="17.140625" style="2" customWidth="1"/>
    <col min="11" max="11" width="1.8515625" style="157" customWidth="1"/>
    <col min="12" max="12" width="17.8515625" style="2" customWidth="1"/>
    <col min="13" max="13" width="1.8515625" style="157" customWidth="1"/>
    <col min="14" max="14" width="20.140625" style="2" customWidth="1"/>
    <col min="15" max="15" width="1.7109375" style="157" customWidth="1"/>
    <col min="16" max="16" width="18.140625" style="2" customWidth="1"/>
    <col min="17" max="17" width="1.8515625" style="157" customWidth="1"/>
    <col min="18" max="18" width="22.8515625" style="2" bestFit="1" customWidth="1"/>
    <col min="19" max="19" width="1.8515625" style="157" customWidth="1"/>
    <col min="20" max="20" width="22.8515625" style="2" bestFit="1" customWidth="1"/>
    <col min="21" max="21" width="1.8515625" style="157" customWidth="1"/>
    <col min="22" max="22" width="22.8515625" style="2" bestFit="1" customWidth="1"/>
    <col min="23" max="23" width="1.7109375" style="157" customWidth="1"/>
    <col min="24" max="24" width="20.00390625" style="2" customWidth="1"/>
    <col min="25" max="25" width="1.7109375" style="157" customWidth="1"/>
    <col min="26" max="26" width="19.00390625" style="2" customWidth="1"/>
    <col min="27" max="27" width="1.7109375" style="2" customWidth="1"/>
    <col min="28" max="28" width="18.57421875" style="2" customWidth="1"/>
    <col min="29" max="16384" width="9.140625" style="2" customWidth="1"/>
  </cols>
  <sheetData>
    <row r="1" spans="1:28" ht="21.75" customHeight="1">
      <c r="A1" s="343">
        <v>15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</row>
    <row r="2" spans="1:28" ht="21.75" customHeight="1">
      <c r="A2" s="314"/>
      <c r="B2" s="314"/>
      <c r="C2" s="314"/>
      <c r="D2" s="314"/>
      <c r="E2" s="156"/>
      <c r="F2" s="314"/>
      <c r="G2" s="156"/>
      <c r="H2" s="314"/>
      <c r="I2" s="156"/>
      <c r="J2" s="314"/>
      <c r="K2" s="156"/>
      <c r="L2" s="314"/>
      <c r="M2" s="156"/>
      <c r="N2" s="314"/>
      <c r="O2" s="156"/>
      <c r="P2" s="314"/>
      <c r="Q2" s="156"/>
      <c r="R2" s="59"/>
      <c r="S2" s="156"/>
      <c r="T2" s="59"/>
      <c r="Z2" s="115" t="s">
        <v>113</v>
      </c>
      <c r="AB2" s="59"/>
    </row>
    <row r="3" spans="1:28" ht="21.75" customHeight="1">
      <c r="A3" s="314"/>
      <c r="B3" s="314"/>
      <c r="C3" s="314"/>
      <c r="D3" s="314"/>
      <c r="E3" s="156"/>
      <c r="F3" s="314"/>
      <c r="G3" s="156"/>
      <c r="H3" s="314"/>
      <c r="I3" s="156"/>
      <c r="J3" s="314"/>
      <c r="K3" s="156"/>
      <c r="L3" s="314"/>
      <c r="M3" s="156"/>
      <c r="N3" s="314"/>
      <c r="O3" s="156"/>
      <c r="P3" s="314"/>
      <c r="Q3" s="156"/>
      <c r="R3" s="59"/>
      <c r="S3" s="156"/>
      <c r="T3" s="59"/>
      <c r="Z3" s="115" t="s">
        <v>114</v>
      </c>
      <c r="AB3" s="59"/>
    </row>
    <row r="4" spans="1:28" ht="21.75" customHeight="1">
      <c r="A4" s="344" t="s">
        <v>4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</row>
    <row r="5" spans="1:28" s="3" customFormat="1" ht="24.75" customHeight="1">
      <c r="A5" s="344" t="s">
        <v>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</row>
    <row r="6" spans="1:28" s="3" customFormat="1" ht="23.25">
      <c r="A6" s="344" t="str">
        <f>+'FS-Conso'!A190</f>
        <v>สำหรับงวดเก้าเดือนสิ้นสุดวันที่ 30 กันยายน 2556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</row>
    <row r="7" spans="1:28" s="3" customFormat="1" ht="24.75" customHeight="1">
      <c r="A7" s="344" t="s">
        <v>147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</row>
    <row r="8" spans="2:26" s="3" customFormat="1" ht="28.5" customHeight="1">
      <c r="B8" s="315"/>
      <c r="E8" s="55"/>
      <c r="G8" s="55"/>
      <c r="I8" s="55"/>
      <c r="K8" s="55"/>
      <c r="M8" s="55"/>
      <c r="O8" s="55"/>
      <c r="Q8" s="55"/>
      <c r="S8" s="55"/>
      <c r="U8" s="55"/>
      <c r="W8" s="55"/>
      <c r="Y8" s="55"/>
      <c r="Z8" s="316" t="s">
        <v>128</v>
      </c>
    </row>
    <row r="9" spans="2:25" s="3" customFormat="1" ht="28.5" customHeight="1">
      <c r="B9" s="315"/>
      <c r="E9" s="55"/>
      <c r="G9" s="55"/>
      <c r="I9" s="55"/>
      <c r="K9" s="55"/>
      <c r="M9" s="55"/>
      <c r="O9" s="55"/>
      <c r="Q9" s="55"/>
      <c r="R9" s="345"/>
      <c r="S9" s="345"/>
      <c r="T9" s="345"/>
      <c r="U9" s="55"/>
      <c r="W9" s="55"/>
      <c r="Y9" s="55"/>
    </row>
    <row r="10" spans="2:25" s="3" customFormat="1" ht="28.5" customHeight="1">
      <c r="B10" s="315"/>
      <c r="E10" s="55"/>
      <c r="G10" s="55"/>
      <c r="I10" s="55"/>
      <c r="K10" s="55"/>
      <c r="M10" s="55"/>
      <c r="O10" s="55"/>
      <c r="P10" s="342" t="s">
        <v>118</v>
      </c>
      <c r="Q10" s="342"/>
      <c r="R10" s="342"/>
      <c r="S10" s="342"/>
      <c r="T10" s="342"/>
      <c r="U10" s="342"/>
      <c r="V10" s="342"/>
      <c r="W10" s="342"/>
      <c r="X10" s="342"/>
      <c r="Y10" s="55"/>
    </row>
    <row r="11" spans="2:25" s="3" customFormat="1" ht="23.25">
      <c r="B11" s="315"/>
      <c r="C11" s="315"/>
      <c r="D11" s="315"/>
      <c r="E11" s="112"/>
      <c r="F11" s="315"/>
      <c r="G11" s="112"/>
      <c r="H11" s="315"/>
      <c r="I11" s="112"/>
      <c r="J11" s="342" t="s">
        <v>76</v>
      </c>
      <c r="K11" s="342"/>
      <c r="L11" s="342"/>
      <c r="M11" s="342"/>
      <c r="N11" s="342"/>
      <c r="O11" s="112"/>
      <c r="P11" s="342" t="s">
        <v>167</v>
      </c>
      <c r="Q11" s="342"/>
      <c r="R11" s="342"/>
      <c r="S11" s="342"/>
      <c r="T11" s="342"/>
      <c r="U11" s="342"/>
      <c r="V11" s="342"/>
      <c r="W11" s="55"/>
      <c r="X11" s="315"/>
      <c r="Y11" s="55"/>
    </row>
    <row r="12" spans="2:25" s="3" customFormat="1" ht="23.25">
      <c r="B12" s="315"/>
      <c r="C12" s="315"/>
      <c r="D12" s="315"/>
      <c r="E12" s="112"/>
      <c r="F12" s="315"/>
      <c r="G12" s="112"/>
      <c r="H12" s="315"/>
      <c r="I12" s="112"/>
      <c r="J12" s="112"/>
      <c r="K12" s="112"/>
      <c r="L12" s="112"/>
      <c r="M12" s="112"/>
      <c r="N12" s="112"/>
      <c r="O12" s="112"/>
      <c r="P12" s="315"/>
      <c r="Q12" s="112"/>
      <c r="R12" s="315"/>
      <c r="S12" s="112"/>
      <c r="T12" s="315"/>
      <c r="U12" s="112"/>
      <c r="V12" s="315" t="s">
        <v>168</v>
      </c>
      <c r="W12" s="112"/>
      <c r="X12" s="112"/>
      <c r="Y12" s="55"/>
    </row>
    <row r="13" spans="2:26" s="3" customFormat="1" ht="23.25">
      <c r="B13" s="315"/>
      <c r="C13" s="315"/>
      <c r="D13" s="315" t="s">
        <v>169</v>
      </c>
      <c r="E13" s="112"/>
      <c r="F13" s="315" t="s">
        <v>75</v>
      </c>
      <c r="G13" s="112"/>
      <c r="H13" s="315" t="s">
        <v>170</v>
      </c>
      <c r="I13" s="112"/>
      <c r="J13" s="315" t="s">
        <v>64</v>
      </c>
      <c r="K13" s="112"/>
      <c r="L13" s="315" t="s">
        <v>62</v>
      </c>
      <c r="M13" s="112"/>
      <c r="N13" s="344" t="s">
        <v>121</v>
      </c>
      <c r="O13" s="112"/>
      <c r="P13" s="315" t="s">
        <v>120</v>
      </c>
      <c r="Q13" s="112"/>
      <c r="R13" s="344" t="s">
        <v>175</v>
      </c>
      <c r="S13" s="112"/>
      <c r="T13" s="315" t="s">
        <v>211</v>
      </c>
      <c r="U13" s="112"/>
      <c r="V13" s="315" t="s">
        <v>171</v>
      </c>
      <c r="W13" s="112"/>
      <c r="X13" s="112" t="s">
        <v>172</v>
      </c>
      <c r="Y13" s="112"/>
      <c r="Z13" s="112" t="s">
        <v>3</v>
      </c>
    </row>
    <row r="14" spans="2:26" s="3" customFormat="1" ht="23.25">
      <c r="B14" s="313" t="s">
        <v>5</v>
      </c>
      <c r="C14" s="315"/>
      <c r="D14" s="313" t="s">
        <v>173</v>
      </c>
      <c r="E14" s="112"/>
      <c r="F14" s="313" t="s">
        <v>1</v>
      </c>
      <c r="G14" s="112"/>
      <c r="H14" s="313" t="s">
        <v>174</v>
      </c>
      <c r="I14" s="112"/>
      <c r="J14" s="313" t="s">
        <v>82</v>
      </c>
      <c r="K14" s="112"/>
      <c r="L14" s="313" t="s">
        <v>63</v>
      </c>
      <c r="M14" s="112"/>
      <c r="N14" s="346"/>
      <c r="O14" s="112"/>
      <c r="P14" s="313" t="s">
        <v>119</v>
      </c>
      <c r="Q14" s="112"/>
      <c r="R14" s="346"/>
      <c r="S14" s="112"/>
      <c r="T14" s="313" t="s">
        <v>176</v>
      </c>
      <c r="U14" s="112"/>
      <c r="V14" s="313" t="s">
        <v>176</v>
      </c>
      <c r="W14" s="112"/>
      <c r="X14" s="313" t="s">
        <v>177</v>
      </c>
      <c r="Y14" s="112"/>
      <c r="Z14" s="313" t="s">
        <v>2</v>
      </c>
    </row>
    <row r="15" spans="2:26" s="3" customFormat="1" ht="23.25">
      <c r="B15" s="315"/>
      <c r="C15" s="315"/>
      <c r="D15" s="315"/>
      <c r="E15" s="112"/>
      <c r="F15" s="315"/>
      <c r="G15" s="112"/>
      <c r="H15" s="315"/>
      <c r="I15" s="112"/>
      <c r="J15" s="315"/>
      <c r="K15" s="112"/>
      <c r="L15" s="315"/>
      <c r="M15" s="112"/>
      <c r="N15" s="315"/>
      <c r="O15" s="112"/>
      <c r="P15" s="315"/>
      <c r="Q15" s="112"/>
      <c r="R15" s="315"/>
      <c r="S15" s="112"/>
      <c r="T15" s="315"/>
      <c r="U15" s="112"/>
      <c r="V15" s="315"/>
      <c r="W15" s="112"/>
      <c r="X15" s="315"/>
      <c r="Y15" s="112"/>
      <c r="Z15" s="315"/>
    </row>
    <row r="16" spans="2:27" s="3" customFormat="1" ht="24">
      <c r="B16" s="315"/>
      <c r="C16" s="5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56"/>
    </row>
    <row r="17" spans="1:27" s="3" customFormat="1" ht="24">
      <c r="A17" s="3" t="s">
        <v>134</v>
      </c>
      <c r="B17" s="315"/>
      <c r="C17" s="50"/>
      <c r="D17" s="7">
        <v>129475062</v>
      </c>
      <c r="E17" s="7"/>
      <c r="F17" s="7">
        <v>469655446</v>
      </c>
      <c r="G17" s="7"/>
      <c r="H17" s="7">
        <v>0</v>
      </c>
      <c r="I17" s="7"/>
      <c r="J17" s="7">
        <v>12963632</v>
      </c>
      <c r="K17" s="7"/>
      <c r="L17" s="7">
        <v>431231212</v>
      </c>
      <c r="M17" s="7"/>
      <c r="N17" s="7">
        <v>5254384351</v>
      </c>
      <c r="O17" s="7"/>
      <c r="P17" s="7">
        <v>23482070</v>
      </c>
      <c r="Q17" s="7"/>
      <c r="R17" s="7">
        <v>0</v>
      </c>
      <c r="S17" s="7"/>
      <c r="T17" s="7">
        <v>-11920073</v>
      </c>
      <c r="U17" s="7"/>
      <c r="V17" s="7">
        <v>2391260</v>
      </c>
      <c r="W17" s="7"/>
      <c r="X17" s="7">
        <v>13953257</v>
      </c>
      <c r="Y17" s="7"/>
      <c r="Z17" s="6">
        <v>6311662960</v>
      </c>
      <c r="AA17" s="56"/>
    </row>
    <row r="18" spans="1:27" s="3" customFormat="1" ht="24">
      <c r="A18" s="3" t="s">
        <v>146</v>
      </c>
      <c r="B18" s="315"/>
      <c r="C18" s="50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5"/>
      <c r="Y18" s="7"/>
      <c r="Z18" s="6"/>
      <c r="AA18" s="56"/>
    </row>
    <row r="19" spans="1:26" ht="24">
      <c r="A19" s="2" t="s">
        <v>180</v>
      </c>
      <c r="C19" s="50"/>
      <c r="D19" s="4">
        <v>0</v>
      </c>
      <c r="E19" s="65"/>
      <c r="F19" s="4">
        <v>0</v>
      </c>
      <c r="G19" s="65"/>
      <c r="H19" s="4">
        <v>156752370</v>
      </c>
      <c r="I19" s="65"/>
      <c r="J19" s="4">
        <v>0</v>
      </c>
      <c r="K19" s="65"/>
      <c r="L19" s="4">
        <v>0</v>
      </c>
      <c r="M19" s="65"/>
      <c r="N19" s="4">
        <v>0</v>
      </c>
      <c r="O19" s="65"/>
      <c r="P19" s="4">
        <v>0</v>
      </c>
      <c r="Q19" s="65"/>
      <c r="R19" s="4">
        <v>0</v>
      </c>
      <c r="S19" s="65"/>
      <c r="T19" s="4">
        <v>0</v>
      </c>
      <c r="U19" s="65"/>
      <c r="V19" s="4">
        <v>0</v>
      </c>
      <c r="W19" s="65"/>
      <c r="X19" s="65">
        <v>0</v>
      </c>
      <c r="Y19" s="65"/>
      <c r="Z19" s="4">
        <v>156752370</v>
      </c>
    </row>
    <row r="20" spans="1:26" ht="24">
      <c r="A20" s="2" t="s">
        <v>181</v>
      </c>
      <c r="C20" s="50"/>
      <c r="D20" s="4">
        <v>0</v>
      </c>
      <c r="E20" s="65"/>
      <c r="F20" s="4">
        <v>0</v>
      </c>
      <c r="G20" s="65"/>
      <c r="H20" s="4">
        <v>0</v>
      </c>
      <c r="I20" s="65"/>
      <c r="J20" s="4">
        <v>0</v>
      </c>
      <c r="K20" s="65"/>
      <c r="L20" s="4">
        <v>0</v>
      </c>
      <c r="M20" s="65"/>
      <c r="N20" s="4">
        <v>-2379187</v>
      </c>
      <c r="O20" s="65"/>
      <c r="P20" s="4">
        <v>0</v>
      </c>
      <c r="Q20" s="65"/>
      <c r="R20" s="4">
        <v>0</v>
      </c>
      <c r="S20" s="65"/>
      <c r="T20" s="4">
        <v>0</v>
      </c>
      <c r="U20" s="65"/>
      <c r="V20" s="4">
        <v>0</v>
      </c>
      <c r="W20" s="65"/>
      <c r="X20" s="65">
        <v>0</v>
      </c>
      <c r="Y20" s="65"/>
      <c r="Z20" s="4">
        <v>-2379187</v>
      </c>
    </row>
    <row r="21" spans="1:26" ht="24">
      <c r="A21" s="2" t="s">
        <v>78</v>
      </c>
      <c r="C21" s="50"/>
      <c r="D21" s="4">
        <v>0</v>
      </c>
      <c r="E21" s="65"/>
      <c r="F21" s="4">
        <v>0</v>
      </c>
      <c r="G21" s="65"/>
      <c r="H21" s="4">
        <v>0</v>
      </c>
      <c r="I21" s="65"/>
      <c r="J21" s="4">
        <v>0</v>
      </c>
      <c r="K21" s="65"/>
      <c r="L21" s="4">
        <v>0</v>
      </c>
      <c r="M21" s="65"/>
      <c r="N21" s="4">
        <v>-589297408</v>
      </c>
      <c r="O21" s="65"/>
      <c r="P21" s="4">
        <v>0</v>
      </c>
      <c r="Q21" s="65"/>
      <c r="R21" s="4">
        <v>0</v>
      </c>
      <c r="S21" s="65"/>
      <c r="T21" s="4">
        <v>0</v>
      </c>
      <c r="U21" s="65"/>
      <c r="V21" s="4">
        <v>0</v>
      </c>
      <c r="W21" s="65"/>
      <c r="X21" s="65">
        <v>0</v>
      </c>
      <c r="Y21" s="65"/>
      <c r="Z21" s="4">
        <v>-589297408</v>
      </c>
    </row>
    <row r="22" spans="1:26" ht="24">
      <c r="A22" s="2" t="s">
        <v>184</v>
      </c>
      <c r="B22" s="2"/>
      <c r="C22" s="50"/>
      <c r="D22" s="4">
        <v>0</v>
      </c>
      <c r="E22" s="65"/>
      <c r="F22" s="4">
        <v>0</v>
      </c>
      <c r="G22" s="65"/>
      <c r="H22" s="4">
        <v>0</v>
      </c>
      <c r="I22" s="65"/>
      <c r="J22" s="4">
        <v>0</v>
      </c>
      <c r="K22" s="65"/>
      <c r="L22" s="4">
        <v>0</v>
      </c>
      <c r="M22" s="65"/>
      <c r="N22" s="4">
        <v>1397002909</v>
      </c>
      <c r="O22" s="65"/>
      <c r="P22" s="4">
        <v>33945654</v>
      </c>
      <c r="Q22" s="65"/>
      <c r="R22" s="4">
        <v>14134</v>
      </c>
      <c r="S22" s="65"/>
      <c r="T22" s="4">
        <f>ROUND(-29947456.87,0)</f>
        <v>-29947457</v>
      </c>
      <c r="U22" s="65"/>
      <c r="V22" s="4">
        <f>ROUND(5495232.65,0)</f>
        <v>5495233</v>
      </c>
      <c r="W22" s="65"/>
      <c r="X22" s="65">
        <v>9507564</v>
      </c>
      <c r="Y22" s="65"/>
      <c r="Z22" s="4">
        <v>1406510473</v>
      </c>
    </row>
    <row r="23" spans="1:27" s="3" customFormat="1" ht="24.75" thickBot="1">
      <c r="A23" s="3" t="s">
        <v>232</v>
      </c>
      <c r="B23" s="315"/>
      <c r="C23" s="50"/>
      <c r="D23" s="49">
        <f aca="true" t="shared" si="0" ref="D23:P23">SUM(D17:D22)</f>
        <v>129475062</v>
      </c>
      <c r="E23" s="7">
        <f t="shared" si="0"/>
        <v>0</v>
      </c>
      <c r="F23" s="49">
        <f t="shared" si="0"/>
        <v>469655446</v>
      </c>
      <c r="G23" s="7">
        <f t="shared" si="0"/>
        <v>0</v>
      </c>
      <c r="H23" s="49">
        <f t="shared" si="0"/>
        <v>156752370</v>
      </c>
      <c r="I23" s="7">
        <f t="shared" si="0"/>
        <v>0</v>
      </c>
      <c r="J23" s="49">
        <f t="shared" si="0"/>
        <v>12963632</v>
      </c>
      <c r="K23" s="7">
        <f t="shared" si="0"/>
        <v>0</v>
      </c>
      <c r="L23" s="49">
        <f t="shared" si="0"/>
        <v>431231212</v>
      </c>
      <c r="M23" s="7">
        <f t="shared" si="0"/>
        <v>0</v>
      </c>
      <c r="N23" s="49">
        <f t="shared" si="0"/>
        <v>6059710665</v>
      </c>
      <c r="O23" s="7">
        <f t="shared" si="0"/>
        <v>0</v>
      </c>
      <c r="P23" s="49">
        <f t="shared" si="0"/>
        <v>57427724</v>
      </c>
      <c r="Q23" s="7"/>
      <c r="R23" s="49">
        <f>SUM(R17:R22)</f>
        <v>14134</v>
      </c>
      <c r="S23" s="65"/>
      <c r="T23" s="49">
        <f>SUM(T17:T22)</f>
        <v>-41867530</v>
      </c>
      <c r="U23" s="7">
        <f>SUM(U17:U22)</f>
        <v>0</v>
      </c>
      <c r="V23" s="49">
        <v>7886492.65</v>
      </c>
      <c r="W23" s="7"/>
      <c r="X23" s="49">
        <f>SUM(X17:X22)</f>
        <v>23460821</v>
      </c>
      <c r="Y23" s="7">
        <f>SUM(Y17:Y22)</f>
        <v>0</v>
      </c>
      <c r="Z23" s="49">
        <f>SUM(Z17:Z22)</f>
        <v>7283249208</v>
      </c>
      <c r="AA23" s="56"/>
    </row>
    <row r="24" spans="2:20" ht="21" customHeight="1">
      <c r="B24" s="315"/>
      <c r="C24" s="50"/>
      <c r="D24" s="4"/>
      <c r="E24" s="65"/>
      <c r="F24" s="4"/>
      <c r="G24" s="65"/>
      <c r="H24" s="4"/>
      <c r="I24" s="65"/>
      <c r="J24" s="4"/>
      <c r="K24" s="65"/>
      <c r="L24" s="4"/>
      <c r="M24" s="65"/>
      <c r="N24" s="4"/>
      <c r="O24" s="65"/>
      <c r="P24" s="4"/>
      <c r="Q24" s="65"/>
      <c r="R24" s="4"/>
      <c r="S24" s="65"/>
      <c r="T24" s="4"/>
    </row>
    <row r="25" spans="2:25" s="3" customFormat="1" ht="28.5" customHeight="1">
      <c r="B25" s="315"/>
      <c r="E25" s="55"/>
      <c r="G25" s="55"/>
      <c r="I25" s="55"/>
      <c r="K25" s="55"/>
      <c r="M25" s="55"/>
      <c r="O25" s="55"/>
      <c r="P25" s="316"/>
      <c r="Q25" s="159"/>
      <c r="R25" s="315"/>
      <c r="S25" s="55"/>
      <c r="U25" s="55"/>
      <c r="V25" s="119"/>
      <c r="W25" s="55"/>
      <c r="Y25" s="55"/>
    </row>
    <row r="26" spans="2:26" s="3" customFormat="1" ht="28.5" customHeight="1">
      <c r="B26" s="315"/>
      <c r="E26" s="55"/>
      <c r="G26" s="55"/>
      <c r="I26" s="55"/>
      <c r="K26" s="55"/>
      <c r="M26" s="55"/>
      <c r="O26" s="55"/>
      <c r="Q26" s="55"/>
      <c r="S26" s="55"/>
      <c r="U26" s="55"/>
      <c r="W26" s="55"/>
      <c r="Y26" s="55"/>
      <c r="Z26" s="316" t="s">
        <v>128</v>
      </c>
    </row>
    <row r="27" spans="2:25" s="3" customFormat="1" ht="28.5" customHeight="1">
      <c r="B27" s="315"/>
      <c r="E27" s="55"/>
      <c r="G27" s="55"/>
      <c r="I27" s="55"/>
      <c r="K27" s="55"/>
      <c r="M27" s="55"/>
      <c r="O27" s="55"/>
      <c r="Q27" s="55"/>
      <c r="S27" s="55"/>
      <c r="U27" s="55"/>
      <c r="W27" s="55"/>
      <c r="X27" s="315"/>
      <c r="Y27" s="55"/>
    </row>
    <row r="28" spans="2:25" s="3" customFormat="1" ht="28.5" customHeight="1">
      <c r="B28" s="315"/>
      <c r="E28" s="55"/>
      <c r="G28" s="55"/>
      <c r="I28" s="55"/>
      <c r="K28" s="55"/>
      <c r="M28" s="55"/>
      <c r="O28" s="55"/>
      <c r="P28" s="342" t="s">
        <v>118</v>
      </c>
      <c r="Q28" s="342"/>
      <c r="R28" s="342"/>
      <c r="S28" s="342"/>
      <c r="T28" s="342"/>
      <c r="U28" s="342"/>
      <c r="V28" s="342"/>
      <c r="W28" s="342"/>
      <c r="X28" s="342"/>
      <c r="Y28" s="55"/>
    </row>
    <row r="29" spans="2:26" s="3" customFormat="1" ht="23.25">
      <c r="B29" s="315"/>
      <c r="C29" s="315"/>
      <c r="D29" s="315"/>
      <c r="E29" s="112"/>
      <c r="F29" s="315"/>
      <c r="G29" s="112"/>
      <c r="H29" s="315"/>
      <c r="I29" s="112"/>
      <c r="J29" s="342" t="s">
        <v>76</v>
      </c>
      <c r="K29" s="342"/>
      <c r="L29" s="342"/>
      <c r="M29" s="342"/>
      <c r="N29" s="342"/>
      <c r="O29" s="112"/>
      <c r="P29" s="342" t="s">
        <v>167</v>
      </c>
      <c r="Q29" s="342"/>
      <c r="R29" s="342"/>
      <c r="S29" s="342"/>
      <c r="T29" s="342"/>
      <c r="U29" s="342"/>
      <c r="V29" s="342"/>
      <c r="W29" s="55"/>
      <c r="X29" s="315"/>
      <c r="Y29" s="55"/>
      <c r="Z29" s="315"/>
    </row>
    <row r="30" spans="2:26" s="3" customFormat="1" ht="23.25">
      <c r="B30" s="315"/>
      <c r="C30" s="315"/>
      <c r="D30" s="315"/>
      <c r="E30" s="112"/>
      <c r="F30" s="315"/>
      <c r="G30" s="112"/>
      <c r="H30" s="315"/>
      <c r="I30" s="112"/>
      <c r="J30" s="315"/>
      <c r="K30" s="112"/>
      <c r="L30" s="315"/>
      <c r="M30" s="112"/>
      <c r="N30" s="63"/>
      <c r="O30" s="112"/>
      <c r="P30" s="315"/>
      <c r="Q30" s="112"/>
      <c r="R30" s="315"/>
      <c r="S30" s="112"/>
      <c r="T30" s="315"/>
      <c r="U30" s="112"/>
      <c r="V30" s="315" t="s">
        <v>168</v>
      </c>
      <c r="W30" s="112"/>
      <c r="X30" s="112"/>
      <c r="Y30" s="112"/>
      <c r="Z30" s="112"/>
    </row>
    <row r="31" spans="2:26" s="3" customFormat="1" ht="23.25">
      <c r="B31" s="315"/>
      <c r="C31" s="315"/>
      <c r="D31" s="315" t="s">
        <v>169</v>
      </c>
      <c r="E31" s="112"/>
      <c r="F31" s="315" t="s">
        <v>75</v>
      </c>
      <c r="G31" s="112"/>
      <c r="H31" s="315" t="s">
        <v>170</v>
      </c>
      <c r="I31" s="112"/>
      <c r="J31" s="315" t="s">
        <v>64</v>
      </c>
      <c r="K31" s="112"/>
      <c r="L31" s="315" t="s">
        <v>62</v>
      </c>
      <c r="M31" s="112"/>
      <c r="N31" s="344" t="s">
        <v>121</v>
      </c>
      <c r="O31" s="112"/>
      <c r="P31" s="315" t="s">
        <v>120</v>
      </c>
      <c r="Q31" s="112"/>
      <c r="R31" s="344" t="s">
        <v>175</v>
      </c>
      <c r="S31" s="112"/>
      <c r="T31" s="315" t="s">
        <v>211</v>
      </c>
      <c r="U31" s="112"/>
      <c r="V31" s="315" t="s">
        <v>171</v>
      </c>
      <c r="W31" s="112"/>
      <c r="X31" s="112" t="s">
        <v>172</v>
      </c>
      <c r="Y31" s="112"/>
      <c r="Z31" s="112" t="s">
        <v>3</v>
      </c>
    </row>
    <row r="32" spans="2:26" s="3" customFormat="1" ht="23.25">
      <c r="B32" s="313" t="s">
        <v>5</v>
      </c>
      <c r="C32" s="315"/>
      <c r="D32" s="313" t="s">
        <v>173</v>
      </c>
      <c r="E32" s="112"/>
      <c r="F32" s="313" t="s">
        <v>1</v>
      </c>
      <c r="G32" s="112"/>
      <c r="H32" s="313" t="s">
        <v>174</v>
      </c>
      <c r="I32" s="112"/>
      <c r="J32" s="313" t="s">
        <v>82</v>
      </c>
      <c r="K32" s="112"/>
      <c r="L32" s="313" t="s">
        <v>63</v>
      </c>
      <c r="M32" s="112"/>
      <c r="N32" s="346"/>
      <c r="O32" s="112"/>
      <c r="P32" s="313" t="s">
        <v>119</v>
      </c>
      <c r="Q32" s="112"/>
      <c r="R32" s="346"/>
      <c r="S32" s="112"/>
      <c r="T32" s="313" t="s">
        <v>176</v>
      </c>
      <c r="U32" s="112"/>
      <c r="V32" s="313" t="s">
        <v>176</v>
      </c>
      <c r="W32" s="112"/>
      <c r="X32" s="313" t="s">
        <v>177</v>
      </c>
      <c r="Y32" s="112"/>
      <c r="Z32" s="313" t="s">
        <v>2</v>
      </c>
    </row>
    <row r="33" spans="2:26" s="3" customFormat="1" ht="23.25">
      <c r="B33" s="112"/>
      <c r="C33" s="315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64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64"/>
    </row>
    <row r="34" spans="2:27" s="3" customFormat="1" ht="21" customHeight="1">
      <c r="B34" s="315"/>
      <c r="C34" s="50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56"/>
    </row>
    <row r="35" spans="1:27" s="3" customFormat="1" ht="24">
      <c r="A35" s="3" t="s">
        <v>182</v>
      </c>
      <c r="B35" s="315"/>
      <c r="C35" s="50"/>
      <c r="D35" s="139">
        <v>150683762</v>
      </c>
      <c r="E35" s="139"/>
      <c r="F35" s="139">
        <v>3438921013</v>
      </c>
      <c r="G35" s="139"/>
      <c r="H35" s="139">
        <v>156570483</v>
      </c>
      <c r="I35" s="139"/>
      <c r="J35" s="139">
        <v>15048319</v>
      </c>
      <c r="K35" s="139"/>
      <c r="L35" s="139">
        <v>431231212</v>
      </c>
      <c r="M35" s="139"/>
      <c r="N35" s="139">
        <v>6503763882</v>
      </c>
      <c r="O35" s="139"/>
      <c r="P35" s="139">
        <v>44797144</v>
      </c>
      <c r="Q35" s="139"/>
      <c r="R35" s="139">
        <v>-85848</v>
      </c>
      <c r="S35" s="139"/>
      <c r="T35" s="139">
        <v>-36329716</v>
      </c>
      <c r="U35" s="139"/>
      <c r="V35" s="139">
        <v>6699724</v>
      </c>
      <c r="W35" s="139"/>
      <c r="X35" s="139">
        <f>SUM(P35:V35)</f>
        <v>15081304</v>
      </c>
      <c r="Y35" s="139"/>
      <c r="Z35" s="140">
        <f>SUM(D35:V35)</f>
        <v>10711299975</v>
      </c>
      <c r="AA35" s="56"/>
    </row>
    <row r="36" spans="1:27" s="3" customFormat="1" ht="24">
      <c r="A36" s="3" t="s">
        <v>146</v>
      </c>
      <c r="B36" s="315"/>
      <c r="C36" s="50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40"/>
      <c r="AA36" s="56"/>
    </row>
    <row r="37" spans="1:26" ht="21" customHeight="1" hidden="1">
      <c r="A37" s="2" t="s">
        <v>74</v>
      </c>
      <c r="B37" s="315"/>
      <c r="C37" s="50"/>
      <c r="D37" s="141"/>
      <c r="E37" s="142"/>
      <c r="F37" s="141"/>
      <c r="G37" s="142"/>
      <c r="H37" s="142"/>
      <c r="I37" s="142"/>
      <c r="J37" s="139"/>
      <c r="K37" s="142"/>
      <c r="L37" s="139"/>
      <c r="M37" s="142"/>
      <c r="N37" s="139"/>
      <c r="O37" s="142"/>
      <c r="P37" s="139"/>
      <c r="Q37" s="142"/>
      <c r="R37" s="139"/>
      <c r="S37" s="142"/>
      <c r="T37" s="139"/>
      <c r="U37" s="142"/>
      <c r="V37" s="139"/>
      <c r="W37" s="142"/>
      <c r="X37" s="139">
        <f aca="true" t="shared" si="1" ref="X37:X42">SUM(P37:V37)</f>
        <v>0</v>
      </c>
      <c r="Y37" s="142"/>
      <c r="Z37" s="140">
        <f aca="true" t="shared" si="2" ref="Z37:Z42">SUM(D37:V37)</f>
        <v>0</v>
      </c>
    </row>
    <row r="38" spans="1:26" ht="24">
      <c r="A38" s="2" t="s">
        <v>178</v>
      </c>
      <c r="B38" s="315"/>
      <c r="C38" s="50"/>
      <c r="D38" s="141">
        <v>0</v>
      </c>
      <c r="E38" s="142"/>
      <c r="F38" s="141">
        <v>115599</v>
      </c>
      <c r="G38" s="142"/>
      <c r="H38" s="141">
        <v>0</v>
      </c>
      <c r="I38" s="142"/>
      <c r="J38" s="141">
        <v>0</v>
      </c>
      <c r="K38" s="142"/>
      <c r="L38" s="141">
        <v>0</v>
      </c>
      <c r="M38" s="142"/>
      <c r="N38" s="139">
        <v>0</v>
      </c>
      <c r="O38" s="142"/>
      <c r="P38" s="141">
        <v>0</v>
      </c>
      <c r="Q38" s="142"/>
      <c r="R38" s="141">
        <v>0</v>
      </c>
      <c r="S38" s="142"/>
      <c r="T38" s="141">
        <v>0</v>
      </c>
      <c r="U38" s="142"/>
      <c r="V38" s="141">
        <v>0</v>
      </c>
      <c r="W38" s="142"/>
      <c r="X38" s="142">
        <f t="shared" si="1"/>
        <v>0</v>
      </c>
      <c r="Y38" s="142"/>
      <c r="Z38" s="141">
        <f t="shared" si="2"/>
        <v>115599</v>
      </c>
    </row>
    <row r="39" spans="1:26" ht="21" customHeight="1" hidden="1">
      <c r="A39" s="2" t="s">
        <v>179</v>
      </c>
      <c r="B39" s="67">
        <v>32</v>
      </c>
      <c r="C39" s="50"/>
      <c r="D39" s="139"/>
      <c r="E39" s="142"/>
      <c r="F39" s="141">
        <v>0</v>
      </c>
      <c r="G39" s="139"/>
      <c r="H39" s="141">
        <v>0</v>
      </c>
      <c r="I39" s="142"/>
      <c r="J39" s="141">
        <v>0</v>
      </c>
      <c r="K39" s="142"/>
      <c r="L39" s="141">
        <v>0</v>
      </c>
      <c r="M39" s="142"/>
      <c r="N39" s="141"/>
      <c r="O39" s="142"/>
      <c r="P39" s="141">
        <v>0</v>
      </c>
      <c r="Q39" s="142"/>
      <c r="R39" s="141">
        <v>0</v>
      </c>
      <c r="S39" s="142"/>
      <c r="T39" s="141">
        <v>0</v>
      </c>
      <c r="U39" s="142"/>
      <c r="V39" s="141">
        <v>0</v>
      </c>
      <c r="W39" s="142"/>
      <c r="X39" s="142">
        <f t="shared" si="1"/>
        <v>0</v>
      </c>
      <c r="Y39" s="142"/>
      <c r="Z39" s="141">
        <f t="shared" si="2"/>
        <v>0</v>
      </c>
    </row>
    <row r="40" spans="1:26" ht="21" customHeight="1" hidden="1">
      <c r="A40" s="2" t="s">
        <v>180</v>
      </c>
      <c r="C40" s="50"/>
      <c r="D40" s="139"/>
      <c r="E40" s="142"/>
      <c r="F40" s="141">
        <v>0</v>
      </c>
      <c r="G40" s="139"/>
      <c r="H40" s="141">
        <v>0</v>
      </c>
      <c r="I40" s="142"/>
      <c r="J40" s="141">
        <v>0</v>
      </c>
      <c r="K40" s="142"/>
      <c r="L40" s="141">
        <v>0</v>
      </c>
      <c r="M40" s="142"/>
      <c r="N40" s="139"/>
      <c r="O40" s="142"/>
      <c r="P40" s="141">
        <v>0</v>
      </c>
      <c r="Q40" s="142"/>
      <c r="R40" s="141">
        <v>0</v>
      </c>
      <c r="S40" s="142"/>
      <c r="T40" s="141">
        <v>0</v>
      </c>
      <c r="U40" s="142"/>
      <c r="V40" s="141">
        <v>0</v>
      </c>
      <c r="W40" s="142"/>
      <c r="X40" s="142">
        <f t="shared" si="1"/>
        <v>0</v>
      </c>
      <c r="Y40" s="142"/>
      <c r="Z40" s="141">
        <f t="shared" si="2"/>
        <v>0</v>
      </c>
    </row>
    <row r="41" spans="1:26" ht="24">
      <c r="A41" s="2" t="s">
        <v>181</v>
      </c>
      <c r="B41" s="315"/>
      <c r="C41" s="50"/>
      <c r="D41" s="141">
        <v>0</v>
      </c>
      <c r="E41" s="142"/>
      <c r="F41" s="141">
        <v>0</v>
      </c>
      <c r="G41" s="139"/>
      <c r="H41" s="141">
        <v>0</v>
      </c>
      <c r="I41" s="142"/>
      <c r="J41" s="141">
        <v>0</v>
      </c>
      <c r="K41" s="142"/>
      <c r="L41" s="141">
        <v>0</v>
      </c>
      <c r="M41" s="142"/>
      <c r="N41" s="141">
        <f>ROUND(-7120705.22,0)</f>
        <v>-7120705</v>
      </c>
      <c r="O41" s="142"/>
      <c r="P41" s="141">
        <v>0</v>
      </c>
      <c r="Q41" s="142"/>
      <c r="R41" s="141">
        <v>0</v>
      </c>
      <c r="S41" s="142"/>
      <c r="T41" s="141">
        <v>0</v>
      </c>
      <c r="U41" s="142"/>
      <c r="V41" s="141">
        <v>0</v>
      </c>
      <c r="W41" s="142"/>
      <c r="X41" s="142">
        <f t="shared" si="1"/>
        <v>0</v>
      </c>
      <c r="Y41" s="142"/>
      <c r="Z41" s="141">
        <f t="shared" si="2"/>
        <v>-7120705</v>
      </c>
    </row>
    <row r="42" spans="1:26" ht="24">
      <c r="A42" s="2" t="s">
        <v>78</v>
      </c>
      <c r="B42" s="67">
        <v>23</v>
      </c>
      <c r="C42" s="50"/>
      <c r="D42" s="141">
        <v>0</v>
      </c>
      <c r="E42" s="142"/>
      <c r="F42" s="141">
        <v>0</v>
      </c>
      <c r="G42" s="139"/>
      <c r="H42" s="141">
        <v>0</v>
      </c>
      <c r="I42" s="142"/>
      <c r="J42" s="141">
        <v>0</v>
      </c>
      <c r="K42" s="142"/>
      <c r="L42" s="141">
        <v>0</v>
      </c>
      <c r="M42" s="142"/>
      <c r="N42" s="4">
        <f>ROUND(-783278119.42,0)-1</f>
        <v>-783278120</v>
      </c>
      <c r="O42" s="142"/>
      <c r="P42" s="141">
        <v>0</v>
      </c>
      <c r="Q42" s="142"/>
      <c r="R42" s="141">
        <v>0</v>
      </c>
      <c r="S42" s="142"/>
      <c r="T42" s="141">
        <v>0</v>
      </c>
      <c r="U42" s="142"/>
      <c r="V42" s="141">
        <v>0</v>
      </c>
      <c r="W42" s="142"/>
      <c r="X42" s="142">
        <f t="shared" si="1"/>
        <v>0</v>
      </c>
      <c r="Y42" s="142"/>
      <c r="Z42" s="141">
        <f t="shared" si="2"/>
        <v>-783278120</v>
      </c>
    </row>
    <row r="43" spans="1:28" ht="24">
      <c r="A43" s="2" t="s">
        <v>184</v>
      </c>
      <c r="C43" s="50"/>
      <c r="D43" s="141">
        <v>0</v>
      </c>
      <c r="E43" s="142"/>
      <c r="F43" s="141">
        <v>0</v>
      </c>
      <c r="G43" s="139"/>
      <c r="H43" s="141">
        <v>0</v>
      </c>
      <c r="I43" s="142"/>
      <c r="J43" s="141">
        <v>0</v>
      </c>
      <c r="K43" s="142"/>
      <c r="L43" s="141">
        <v>0</v>
      </c>
      <c r="M43" s="142"/>
      <c r="N43" s="141">
        <f>'FS-Conso'!C246</f>
        <v>1607377637</v>
      </c>
      <c r="O43" s="142"/>
      <c r="P43" s="141">
        <f>ROUND(-18407388.6007234,0)</f>
        <v>-18407389</v>
      </c>
      <c r="Q43" s="142"/>
      <c r="R43" s="141">
        <f>ROUND(383551.22,0)</f>
        <v>383551</v>
      </c>
      <c r="S43" s="142"/>
      <c r="T43" s="141">
        <f>ROUND(16002290.7198045,0)</f>
        <v>16002291</v>
      </c>
      <c r="U43" s="142"/>
      <c r="V43" s="141">
        <f>ROUND(-2715063.9691924,0)</f>
        <v>-2715064</v>
      </c>
      <c r="W43" s="142"/>
      <c r="X43" s="142">
        <f>SUM(P43:V43)</f>
        <v>-4736611</v>
      </c>
      <c r="Y43" s="142"/>
      <c r="Z43" s="141">
        <f>SUM(D43:V43)</f>
        <v>1602641026</v>
      </c>
      <c r="AB43" s="1"/>
    </row>
    <row r="44" spans="1:27" s="3" customFormat="1" ht="24.75" thickBot="1">
      <c r="A44" s="3" t="s">
        <v>233</v>
      </c>
      <c r="B44" s="315"/>
      <c r="C44" s="50"/>
      <c r="D44" s="143">
        <f>SUM(D35:D43)</f>
        <v>150683762</v>
      </c>
      <c r="E44" s="142"/>
      <c r="F44" s="143">
        <f aca="true" t="shared" si="3" ref="F44:W44">SUM(F35:F43)</f>
        <v>3439036612</v>
      </c>
      <c r="G44" s="139">
        <f t="shared" si="3"/>
        <v>0</v>
      </c>
      <c r="H44" s="143">
        <f t="shared" si="3"/>
        <v>156570483</v>
      </c>
      <c r="I44" s="139">
        <f t="shared" si="3"/>
        <v>0</v>
      </c>
      <c r="J44" s="143">
        <f t="shared" si="3"/>
        <v>15048319</v>
      </c>
      <c r="K44" s="139">
        <f t="shared" si="3"/>
        <v>0</v>
      </c>
      <c r="L44" s="143">
        <f t="shared" si="3"/>
        <v>431231212</v>
      </c>
      <c r="M44" s="139">
        <f t="shared" si="3"/>
        <v>0</v>
      </c>
      <c r="N44" s="143">
        <f>SUM(N35:N43)</f>
        <v>7320742694</v>
      </c>
      <c r="O44" s="139">
        <f t="shared" si="3"/>
        <v>0</v>
      </c>
      <c r="P44" s="143">
        <f>SUM(P35:P43)</f>
        <v>26389755</v>
      </c>
      <c r="Q44" s="139">
        <f t="shared" si="3"/>
        <v>0</v>
      </c>
      <c r="R44" s="143">
        <f>SUM(R35:R43)</f>
        <v>297703</v>
      </c>
      <c r="S44" s="139">
        <f t="shared" si="3"/>
        <v>0</v>
      </c>
      <c r="T44" s="143">
        <f>SUM(T35:T43)</f>
        <v>-20327425</v>
      </c>
      <c r="U44" s="139"/>
      <c r="V44" s="143">
        <f>SUM(V35:V43)</f>
        <v>3984660</v>
      </c>
      <c r="W44" s="139">
        <f t="shared" si="3"/>
        <v>0</v>
      </c>
      <c r="X44" s="143">
        <f>SUM(P44:V44)</f>
        <v>10344693</v>
      </c>
      <c r="Y44" s="139"/>
      <c r="Z44" s="143">
        <f>SUM(D44:V44)</f>
        <v>11523657775</v>
      </c>
      <c r="AA44" s="56"/>
    </row>
    <row r="45" spans="2:25" s="3" customFormat="1" ht="21" customHeight="1">
      <c r="B45" s="315"/>
      <c r="C45" s="5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60"/>
      <c r="T45" s="151"/>
      <c r="U45" s="55"/>
      <c r="V45" s="151"/>
      <c r="W45" s="55"/>
      <c r="Y45" s="55"/>
    </row>
    <row r="46" spans="2:26" s="3" customFormat="1" ht="21" customHeight="1">
      <c r="B46" s="315"/>
      <c r="C46" s="50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160"/>
      <c r="T46" s="148"/>
      <c r="U46" s="55"/>
      <c r="V46" s="148"/>
      <c r="W46" s="55"/>
      <c r="Y46" s="55"/>
      <c r="Z46" s="119"/>
    </row>
    <row r="47" spans="1:22" ht="21" customHeight="1">
      <c r="A47" s="2" t="str">
        <f>'[2]FS-Conso'!A44</f>
        <v>หมายเหตุประกอบข้อมูลทางการเงินระหว่างกาลเป็นส่วนหนึ่งของข้อมูลทางการเงินนี้       </v>
      </c>
      <c r="B47" s="315"/>
      <c r="C47" s="50"/>
      <c r="D47" s="4"/>
      <c r="E47" s="65"/>
      <c r="F47" s="4"/>
      <c r="G47" s="65"/>
      <c r="H47" s="4"/>
      <c r="I47" s="65"/>
      <c r="J47" s="4"/>
      <c r="K47" s="65"/>
      <c r="L47" s="4"/>
      <c r="M47" s="65"/>
      <c r="N47" s="4"/>
      <c r="O47" s="65"/>
      <c r="P47" s="4"/>
      <c r="Q47" s="65"/>
      <c r="R47" s="4"/>
      <c r="T47" s="1"/>
      <c r="V47" s="1"/>
    </row>
    <row r="48" spans="1:28" ht="21.75" customHeight="1">
      <c r="A48" s="343">
        <v>16</v>
      </c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  <c r="S48" s="343"/>
      <c r="T48" s="343"/>
      <c r="U48" s="343"/>
      <c r="V48" s="343"/>
      <c r="W48" s="343"/>
      <c r="X48" s="343"/>
      <c r="Y48" s="343"/>
      <c r="Z48" s="343"/>
      <c r="AA48" s="343"/>
      <c r="AB48" s="343"/>
    </row>
    <row r="49" spans="1:26" ht="21.75" customHeight="1">
      <c r="A49" s="314"/>
      <c r="B49" s="314"/>
      <c r="C49" s="314"/>
      <c r="D49" s="314"/>
      <c r="E49" s="156"/>
      <c r="F49" s="141"/>
      <c r="G49" s="156"/>
      <c r="H49" s="314"/>
      <c r="I49" s="156"/>
      <c r="J49" s="314"/>
      <c r="K49" s="156"/>
      <c r="L49" s="314"/>
      <c r="M49" s="156"/>
      <c r="N49" s="314"/>
      <c r="O49" s="156"/>
      <c r="P49" s="314"/>
      <c r="Q49" s="156"/>
      <c r="R49" s="59"/>
      <c r="S49" s="156"/>
      <c r="Z49" s="115" t="s">
        <v>113</v>
      </c>
    </row>
    <row r="50" spans="1:26" ht="21.75" customHeight="1">
      <c r="A50" s="314"/>
      <c r="B50" s="314"/>
      <c r="C50" s="314"/>
      <c r="D50" s="314"/>
      <c r="E50" s="156"/>
      <c r="F50" s="314"/>
      <c r="G50" s="156"/>
      <c r="H50" s="314"/>
      <c r="I50" s="156"/>
      <c r="J50" s="314"/>
      <c r="K50" s="156"/>
      <c r="L50" s="314"/>
      <c r="M50" s="156"/>
      <c r="N50" s="314"/>
      <c r="O50" s="156"/>
      <c r="P50" s="314"/>
      <c r="Q50" s="156"/>
      <c r="R50" s="59"/>
      <c r="S50" s="156"/>
      <c r="Z50" s="115" t="s">
        <v>114</v>
      </c>
    </row>
    <row r="51" spans="1:28" ht="21.75" customHeight="1">
      <c r="A51" s="344" t="s">
        <v>4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</row>
    <row r="52" spans="1:28" s="3" customFormat="1" ht="24.75" customHeight="1">
      <c r="A52" s="344" t="s">
        <v>129</v>
      </c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</row>
    <row r="53" spans="1:28" s="3" customFormat="1" ht="23.25">
      <c r="A53" s="344" t="str">
        <f>+A6</f>
        <v>สำหรับงวดเก้าเดือนสิ้นสุดวันที่ 30 กันยายน 2556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</row>
    <row r="54" spans="1:28" s="3" customFormat="1" ht="24.75" customHeight="1">
      <c r="A54" s="344" t="s">
        <v>147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</row>
    <row r="55" spans="2:26" s="3" customFormat="1" ht="28.5" customHeight="1">
      <c r="B55" s="315"/>
      <c r="E55" s="55"/>
      <c r="G55" s="55"/>
      <c r="I55" s="55"/>
      <c r="K55" s="55"/>
      <c r="M55" s="55"/>
      <c r="O55" s="55"/>
      <c r="Q55" s="55"/>
      <c r="S55" s="55"/>
      <c r="U55" s="55"/>
      <c r="W55" s="55"/>
      <c r="Y55" s="55"/>
      <c r="Z55" s="316" t="s">
        <v>67</v>
      </c>
    </row>
    <row r="56" spans="2:25" s="3" customFormat="1" ht="28.5" customHeight="1">
      <c r="B56" s="315"/>
      <c r="E56" s="55"/>
      <c r="G56" s="55"/>
      <c r="I56" s="55"/>
      <c r="K56" s="55"/>
      <c r="M56" s="55"/>
      <c r="O56" s="55"/>
      <c r="Q56" s="55"/>
      <c r="R56" s="345"/>
      <c r="S56" s="345"/>
      <c r="T56" s="345"/>
      <c r="U56" s="55"/>
      <c r="W56" s="55"/>
      <c r="Y56" s="55"/>
    </row>
    <row r="57" spans="2:25" s="3" customFormat="1" ht="28.5" customHeight="1">
      <c r="B57" s="315"/>
      <c r="E57" s="55"/>
      <c r="G57" s="55"/>
      <c r="I57" s="55"/>
      <c r="K57" s="55"/>
      <c r="M57" s="55"/>
      <c r="O57" s="55"/>
      <c r="P57" s="342" t="s">
        <v>118</v>
      </c>
      <c r="Q57" s="342"/>
      <c r="R57" s="342"/>
      <c r="S57" s="342"/>
      <c r="T57" s="342"/>
      <c r="U57" s="342"/>
      <c r="V57" s="342"/>
      <c r="W57" s="342"/>
      <c r="X57" s="342"/>
      <c r="Y57" s="55"/>
    </row>
    <row r="58" spans="2:25" s="3" customFormat="1" ht="23.25">
      <c r="B58" s="315"/>
      <c r="C58" s="315"/>
      <c r="D58" s="315"/>
      <c r="E58" s="112"/>
      <c r="F58" s="315"/>
      <c r="G58" s="112"/>
      <c r="H58" s="315"/>
      <c r="I58" s="112"/>
      <c r="J58" s="342" t="s">
        <v>76</v>
      </c>
      <c r="K58" s="342"/>
      <c r="L58" s="342"/>
      <c r="M58" s="342"/>
      <c r="N58" s="342"/>
      <c r="O58" s="112"/>
      <c r="P58" s="342" t="s">
        <v>167</v>
      </c>
      <c r="Q58" s="342"/>
      <c r="R58" s="342"/>
      <c r="S58" s="342"/>
      <c r="T58" s="342"/>
      <c r="U58" s="342"/>
      <c r="V58" s="342"/>
      <c r="W58" s="55"/>
      <c r="X58" s="315"/>
      <c r="Y58" s="55"/>
    </row>
    <row r="59" spans="2:25" s="3" customFormat="1" ht="23.25">
      <c r="B59" s="315"/>
      <c r="C59" s="315"/>
      <c r="D59" s="315"/>
      <c r="E59" s="112"/>
      <c r="F59" s="315"/>
      <c r="G59" s="112"/>
      <c r="H59" s="315"/>
      <c r="I59" s="112"/>
      <c r="J59" s="112"/>
      <c r="K59" s="112"/>
      <c r="L59" s="112"/>
      <c r="M59" s="112"/>
      <c r="N59" s="112"/>
      <c r="O59" s="112"/>
      <c r="P59" s="315"/>
      <c r="Q59" s="112"/>
      <c r="R59" s="315"/>
      <c r="S59" s="112"/>
      <c r="T59" s="315"/>
      <c r="U59" s="112"/>
      <c r="V59" s="315" t="s">
        <v>168</v>
      </c>
      <c r="W59" s="112"/>
      <c r="X59" s="112"/>
      <c r="Y59" s="55"/>
    </row>
    <row r="60" spans="2:26" s="3" customFormat="1" ht="23.25">
      <c r="B60" s="315"/>
      <c r="C60" s="315"/>
      <c r="D60" s="315" t="s">
        <v>169</v>
      </c>
      <c r="E60" s="112"/>
      <c r="F60" s="315" t="s">
        <v>75</v>
      </c>
      <c r="G60" s="112"/>
      <c r="H60" s="315" t="s">
        <v>170</v>
      </c>
      <c r="I60" s="112"/>
      <c r="J60" s="315" t="s">
        <v>64</v>
      </c>
      <c r="K60" s="112"/>
      <c r="L60" s="315" t="s">
        <v>62</v>
      </c>
      <c r="M60" s="112"/>
      <c r="N60" s="344" t="s">
        <v>121</v>
      </c>
      <c r="O60" s="112"/>
      <c r="P60" s="315" t="s">
        <v>120</v>
      </c>
      <c r="Q60" s="112"/>
      <c r="R60" s="344" t="s">
        <v>175</v>
      </c>
      <c r="S60" s="112"/>
      <c r="T60" s="315" t="s">
        <v>211</v>
      </c>
      <c r="U60" s="112"/>
      <c r="V60" s="315" t="s">
        <v>171</v>
      </c>
      <c r="W60" s="112"/>
      <c r="X60" s="112" t="s">
        <v>172</v>
      </c>
      <c r="Y60" s="112"/>
      <c r="Z60" s="112" t="s">
        <v>3</v>
      </c>
    </row>
    <row r="61" spans="2:26" s="3" customFormat="1" ht="23.25">
      <c r="B61" s="313" t="s">
        <v>5</v>
      </c>
      <c r="C61" s="315"/>
      <c r="D61" s="313" t="s">
        <v>173</v>
      </c>
      <c r="E61" s="112"/>
      <c r="F61" s="313" t="s">
        <v>1</v>
      </c>
      <c r="G61" s="112"/>
      <c r="H61" s="313" t="s">
        <v>174</v>
      </c>
      <c r="I61" s="112"/>
      <c r="J61" s="313" t="s">
        <v>82</v>
      </c>
      <c r="K61" s="112"/>
      <c r="L61" s="313" t="s">
        <v>63</v>
      </c>
      <c r="M61" s="112"/>
      <c r="N61" s="346"/>
      <c r="O61" s="112"/>
      <c r="P61" s="313" t="s">
        <v>119</v>
      </c>
      <c r="Q61" s="112"/>
      <c r="R61" s="346"/>
      <c r="S61" s="112"/>
      <c r="T61" s="313" t="s">
        <v>176</v>
      </c>
      <c r="U61" s="112"/>
      <c r="V61" s="313" t="s">
        <v>176</v>
      </c>
      <c r="W61" s="112"/>
      <c r="X61" s="313" t="s">
        <v>177</v>
      </c>
      <c r="Y61" s="112"/>
      <c r="Z61" s="313" t="s">
        <v>2</v>
      </c>
    </row>
    <row r="62" spans="2:26" s="3" customFormat="1" ht="23.25">
      <c r="B62" s="315"/>
      <c r="C62" s="315"/>
      <c r="D62" s="315"/>
      <c r="E62" s="112"/>
      <c r="F62" s="315"/>
      <c r="G62" s="112"/>
      <c r="H62" s="315"/>
      <c r="I62" s="112"/>
      <c r="J62" s="315"/>
      <c r="K62" s="112"/>
      <c r="L62" s="315"/>
      <c r="M62" s="112"/>
      <c r="N62" s="315"/>
      <c r="O62" s="112"/>
      <c r="P62" s="315"/>
      <c r="Q62" s="112"/>
      <c r="R62" s="315"/>
      <c r="S62" s="112"/>
      <c r="T62" s="315"/>
      <c r="U62" s="112"/>
      <c r="V62" s="315"/>
      <c r="W62" s="112"/>
      <c r="X62" s="315"/>
      <c r="Y62" s="112"/>
      <c r="Z62" s="315"/>
    </row>
    <row r="63" spans="2:27" s="3" customFormat="1" ht="21" customHeight="1">
      <c r="B63" s="315"/>
      <c r="C63" s="50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6"/>
    </row>
    <row r="64" spans="1:27" s="3" customFormat="1" ht="20.25" customHeight="1">
      <c r="A64" s="3" t="s">
        <v>134</v>
      </c>
      <c r="B64" s="315"/>
      <c r="C64" s="50"/>
      <c r="D64" s="7">
        <v>3319985400</v>
      </c>
      <c r="E64" s="7"/>
      <c r="F64" s="7">
        <v>14411841900</v>
      </c>
      <c r="G64" s="7"/>
      <c r="H64" s="7">
        <v>0</v>
      </c>
      <c r="I64" s="7"/>
      <c r="J64" s="7">
        <v>332200000</v>
      </c>
      <c r="K64" s="7"/>
      <c r="L64" s="7">
        <v>16900000000</v>
      </c>
      <c r="M64" s="7"/>
      <c r="N64" s="7">
        <v>179146315584</v>
      </c>
      <c r="O64" s="7"/>
      <c r="P64" s="7">
        <v>-13794783769</v>
      </c>
      <c r="Q64" s="7"/>
      <c r="R64" s="7">
        <v>0</v>
      </c>
      <c r="S64" s="7"/>
      <c r="T64" s="7">
        <v>-365525566</v>
      </c>
      <c r="U64" s="7"/>
      <c r="V64" s="139">
        <v>74139682</v>
      </c>
      <c r="W64" s="7"/>
      <c r="X64" s="7">
        <v>-14086169653</v>
      </c>
      <c r="Y64" s="7"/>
      <c r="Z64" s="6">
        <f>SUM(D64:V64)</f>
        <v>200024173231</v>
      </c>
      <c r="AA64" s="56"/>
    </row>
    <row r="65" spans="1:27" s="3" customFormat="1" ht="21" customHeight="1">
      <c r="A65" s="3" t="s">
        <v>146</v>
      </c>
      <c r="B65" s="315"/>
      <c r="C65" s="50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6"/>
      <c r="AA65" s="56"/>
    </row>
    <row r="66" spans="1:26" ht="21" customHeight="1">
      <c r="A66" s="2" t="s">
        <v>180</v>
      </c>
      <c r="C66" s="50"/>
      <c r="D66" s="4">
        <v>0</v>
      </c>
      <c r="E66" s="65"/>
      <c r="F66" s="4">
        <v>0</v>
      </c>
      <c r="G66" s="65"/>
      <c r="H66" s="4">
        <v>4987735024</v>
      </c>
      <c r="I66" s="65"/>
      <c r="J66" s="4">
        <v>0</v>
      </c>
      <c r="K66" s="65"/>
      <c r="L66" s="4">
        <v>0</v>
      </c>
      <c r="M66" s="65"/>
      <c r="N66" s="4">
        <v>0</v>
      </c>
      <c r="O66" s="65"/>
      <c r="P66" s="4">
        <v>0</v>
      </c>
      <c r="Q66" s="65"/>
      <c r="R66" s="4">
        <v>0</v>
      </c>
      <c r="S66" s="65"/>
      <c r="T66" s="4">
        <v>0</v>
      </c>
      <c r="U66" s="65"/>
      <c r="V66" s="4">
        <v>0</v>
      </c>
      <c r="W66" s="65"/>
      <c r="X66" s="4">
        <v>0</v>
      </c>
      <c r="Y66" s="65"/>
      <c r="Z66" s="4">
        <f>SUM(D66:V66)</f>
        <v>4987735024</v>
      </c>
    </row>
    <row r="67" spans="1:26" ht="24">
      <c r="A67" s="2" t="s">
        <v>181</v>
      </c>
      <c r="C67" s="50"/>
      <c r="D67" s="4">
        <v>0</v>
      </c>
      <c r="E67" s="65"/>
      <c r="F67" s="4">
        <v>0</v>
      </c>
      <c r="G67" s="65"/>
      <c r="H67" s="4">
        <v>0</v>
      </c>
      <c r="I67" s="65"/>
      <c r="J67" s="4">
        <v>0</v>
      </c>
      <c r="K67" s="65"/>
      <c r="L67" s="4">
        <v>0</v>
      </c>
      <c r="M67" s="65"/>
      <c r="N67" s="4">
        <v>-73752198</v>
      </c>
      <c r="O67" s="65"/>
      <c r="P67" s="4">
        <v>0</v>
      </c>
      <c r="Q67" s="65"/>
      <c r="R67" s="4">
        <v>0</v>
      </c>
      <c r="S67" s="65"/>
      <c r="T67" s="4">
        <v>0</v>
      </c>
      <c r="U67" s="65"/>
      <c r="V67" s="4">
        <v>0</v>
      </c>
      <c r="W67" s="65"/>
      <c r="X67" s="4">
        <v>0</v>
      </c>
      <c r="Y67" s="65"/>
      <c r="Z67" s="4">
        <f>SUM(D67:V67)</f>
        <v>-73752198</v>
      </c>
    </row>
    <row r="68" spans="1:26" ht="21" customHeight="1">
      <c r="A68" s="2" t="s">
        <v>78</v>
      </c>
      <c r="C68" s="50"/>
      <c r="D68" s="4">
        <v>0</v>
      </c>
      <c r="E68" s="65"/>
      <c r="F68" s="4">
        <v>0</v>
      </c>
      <c r="G68" s="65"/>
      <c r="H68" s="4">
        <v>0</v>
      </c>
      <c r="I68" s="65"/>
      <c r="J68" s="4">
        <v>0</v>
      </c>
      <c r="K68" s="65"/>
      <c r="L68" s="4">
        <v>0</v>
      </c>
      <c r="M68" s="65"/>
      <c r="N68" s="4">
        <v>-18184268355</v>
      </c>
      <c r="O68" s="65"/>
      <c r="P68" s="4">
        <v>0</v>
      </c>
      <c r="Q68" s="65"/>
      <c r="R68" s="4">
        <v>0</v>
      </c>
      <c r="S68" s="65"/>
      <c r="T68" s="4">
        <v>0</v>
      </c>
      <c r="U68" s="65"/>
      <c r="V68" s="4">
        <v>0</v>
      </c>
      <c r="W68" s="65"/>
      <c r="X68" s="4">
        <v>0</v>
      </c>
      <c r="Y68" s="65"/>
      <c r="Z68" s="4">
        <f>SUM(D68:V68)</f>
        <v>-18184268355</v>
      </c>
    </row>
    <row r="69" spans="1:26" ht="21" customHeight="1">
      <c r="A69" s="2" t="s">
        <v>184</v>
      </c>
      <c r="B69" s="315"/>
      <c r="C69" s="50"/>
      <c r="D69" s="4">
        <v>0</v>
      </c>
      <c r="E69" s="65"/>
      <c r="F69" s="4">
        <v>0</v>
      </c>
      <c r="G69" s="65"/>
      <c r="H69" s="4">
        <v>0</v>
      </c>
      <c r="I69" s="65"/>
      <c r="J69" s="4">
        <v>0</v>
      </c>
      <c r="K69" s="65"/>
      <c r="L69" s="4">
        <v>0</v>
      </c>
      <c r="M69" s="65"/>
      <c r="N69" s="4">
        <v>43547580347</v>
      </c>
      <c r="O69" s="65"/>
      <c r="P69" s="4">
        <v>-5008824158</v>
      </c>
      <c r="Q69" s="65"/>
      <c r="R69" s="4">
        <v>438142</v>
      </c>
      <c r="S69" s="65"/>
      <c r="T69" s="4">
        <f>ROUND(-927917321.8,0)</f>
        <v>-927917322</v>
      </c>
      <c r="U69" s="65"/>
      <c r="V69" s="141">
        <f>ROUND(168668462.94,0)</f>
        <v>168668463</v>
      </c>
      <c r="W69" s="65"/>
      <c r="X69" s="4">
        <v>-5767634875</v>
      </c>
      <c r="Y69" s="65"/>
      <c r="Z69" s="4">
        <f>SUM(D69:V69)</f>
        <v>37779945472</v>
      </c>
    </row>
    <row r="70" spans="1:27" s="3" customFormat="1" ht="21" customHeight="1" thickBot="1">
      <c r="A70" s="3" t="str">
        <f>A23</f>
        <v>ยอดคงเหลือ ณ วันที่ 30 กันยายน 2555</v>
      </c>
      <c r="B70" s="315"/>
      <c r="C70" s="50"/>
      <c r="D70" s="49">
        <f aca="true" t="shared" si="4" ref="D70:S70">SUM(D64:D69)</f>
        <v>3319985400</v>
      </c>
      <c r="E70" s="7">
        <f t="shared" si="4"/>
        <v>0</v>
      </c>
      <c r="F70" s="49">
        <f t="shared" si="4"/>
        <v>14411841900</v>
      </c>
      <c r="G70" s="7">
        <f t="shared" si="4"/>
        <v>0</v>
      </c>
      <c r="H70" s="49">
        <f t="shared" si="4"/>
        <v>4987735024</v>
      </c>
      <c r="I70" s="7">
        <f t="shared" si="4"/>
        <v>0</v>
      </c>
      <c r="J70" s="49">
        <f t="shared" si="4"/>
        <v>332200000</v>
      </c>
      <c r="K70" s="7">
        <f t="shared" si="4"/>
        <v>0</v>
      </c>
      <c r="L70" s="49">
        <f t="shared" si="4"/>
        <v>16900000000</v>
      </c>
      <c r="M70" s="7">
        <f t="shared" si="4"/>
        <v>0</v>
      </c>
      <c r="N70" s="49">
        <f t="shared" si="4"/>
        <v>204435875378</v>
      </c>
      <c r="O70" s="7">
        <f t="shared" si="4"/>
        <v>0</v>
      </c>
      <c r="P70" s="49">
        <f t="shared" si="4"/>
        <v>-18803607927</v>
      </c>
      <c r="Q70" s="7">
        <f>SUM(Q64:Q69)</f>
        <v>0</v>
      </c>
      <c r="R70" s="49">
        <f>SUM(R64:R69)</f>
        <v>438142</v>
      </c>
      <c r="S70" s="7">
        <f t="shared" si="4"/>
        <v>0</v>
      </c>
      <c r="T70" s="49">
        <v>-1293442887.8</v>
      </c>
      <c r="U70" s="7">
        <f>SUM(U64:U69)</f>
        <v>0</v>
      </c>
      <c r="V70" s="49">
        <v>242808144.94</v>
      </c>
      <c r="W70" s="7"/>
      <c r="X70" s="49">
        <f>SUM(X64:X69)</f>
        <v>-19853804528</v>
      </c>
      <c r="Y70" s="7"/>
      <c r="Z70" s="49">
        <f>SUM(Z64:Z69)</f>
        <v>224533833174</v>
      </c>
      <c r="AA70" s="56"/>
    </row>
    <row r="71" spans="2:20" ht="21" customHeight="1">
      <c r="B71" s="315"/>
      <c r="C71" s="50"/>
      <c r="D71" s="4"/>
      <c r="E71" s="65"/>
      <c r="F71" s="4"/>
      <c r="G71" s="65"/>
      <c r="H71" s="4"/>
      <c r="I71" s="65"/>
      <c r="J71" s="4"/>
      <c r="K71" s="65"/>
      <c r="L71" s="4"/>
      <c r="M71" s="65"/>
      <c r="N71" s="4"/>
      <c r="O71" s="65"/>
      <c r="P71" s="4"/>
      <c r="Q71" s="65"/>
      <c r="R71" s="4"/>
      <c r="S71" s="65"/>
      <c r="T71" s="4"/>
    </row>
    <row r="72" spans="2:25" s="3" customFormat="1" ht="28.5" customHeight="1">
      <c r="B72" s="315"/>
      <c r="E72" s="55"/>
      <c r="G72" s="55"/>
      <c r="I72" s="55"/>
      <c r="K72" s="55"/>
      <c r="M72" s="55"/>
      <c r="O72" s="55"/>
      <c r="Q72" s="55"/>
      <c r="R72" s="345"/>
      <c r="S72" s="345"/>
      <c r="T72" s="345"/>
      <c r="U72" s="55"/>
      <c r="V72" s="119"/>
      <c r="W72" s="55"/>
      <c r="Y72" s="55"/>
    </row>
    <row r="73" spans="2:26" s="3" customFormat="1" ht="28.5" customHeight="1">
      <c r="B73" s="315"/>
      <c r="E73" s="55"/>
      <c r="G73" s="55"/>
      <c r="I73" s="55"/>
      <c r="K73" s="55"/>
      <c r="M73" s="55"/>
      <c r="O73" s="55"/>
      <c r="Q73" s="55"/>
      <c r="R73" s="315"/>
      <c r="S73" s="55"/>
      <c r="T73" s="119"/>
      <c r="U73" s="55"/>
      <c r="W73" s="55"/>
      <c r="Y73" s="55"/>
      <c r="Z73" s="316" t="s">
        <v>67</v>
      </c>
    </row>
    <row r="74" spans="2:25" s="3" customFormat="1" ht="28.5" customHeight="1">
      <c r="B74" s="315"/>
      <c r="E74" s="55"/>
      <c r="G74" s="55"/>
      <c r="I74" s="55"/>
      <c r="K74" s="55"/>
      <c r="M74" s="55"/>
      <c r="O74" s="55"/>
      <c r="P74" s="342" t="s">
        <v>118</v>
      </c>
      <c r="Q74" s="342"/>
      <c r="R74" s="342"/>
      <c r="S74" s="342"/>
      <c r="T74" s="342"/>
      <c r="U74" s="342"/>
      <c r="V74" s="342"/>
      <c r="W74" s="342"/>
      <c r="X74" s="342"/>
      <c r="Y74" s="55"/>
    </row>
    <row r="75" spans="2:26" s="3" customFormat="1" ht="23.25">
      <c r="B75" s="315"/>
      <c r="C75" s="315"/>
      <c r="D75" s="315"/>
      <c r="E75" s="112"/>
      <c r="F75" s="315"/>
      <c r="G75" s="112"/>
      <c r="H75" s="315"/>
      <c r="I75" s="112"/>
      <c r="J75" s="342" t="s">
        <v>76</v>
      </c>
      <c r="K75" s="342"/>
      <c r="L75" s="342"/>
      <c r="M75" s="342"/>
      <c r="N75" s="342"/>
      <c r="O75" s="112"/>
      <c r="P75" s="342" t="s">
        <v>167</v>
      </c>
      <c r="Q75" s="342"/>
      <c r="R75" s="342"/>
      <c r="S75" s="342"/>
      <c r="T75" s="342"/>
      <c r="U75" s="342"/>
      <c r="V75" s="342"/>
      <c r="W75" s="55"/>
      <c r="X75" s="315"/>
      <c r="Y75" s="55"/>
      <c r="Z75" s="315"/>
    </row>
    <row r="76" spans="2:26" s="3" customFormat="1" ht="23.25">
      <c r="B76" s="315"/>
      <c r="C76" s="315"/>
      <c r="D76" s="315"/>
      <c r="E76" s="112"/>
      <c r="F76" s="315"/>
      <c r="G76" s="112"/>
      <c r="H76" s="315"/>
      <c r="I76" s="112"/>
      <c r="J76" s="315"/>
      <c r="K76" s="112"/>
      <c r="L76" s="315"/>
      <c r="M76" s="112"/>
      <c r="N76" s="63"/>
      <c r="O76" s="112"/>
      <c r="P76" s="315"/>
      <c r="Q76" s="112"/>
      <c r="R76" s="315"/>
      <c r="S76" s="112"/>
      <c r="T76" s="315"/>
      <c r="U76" s="112"/>
      <c r="V76" s="315" t="s">
        <v>168</v>
      </c>
      <c r="W76" s="112"/>
      <c r="X76" s="112"/>
      <c r="Y76" s="112"/>
      <c r="Z76" s="112"/>
    </row>
    <row r="77" spans="2:26" s="3" customFormat="1" ht="23.25">
      <c r="B77" s="315"/>
      <c r="C77" s="315"/>
      <c r="D77" s="315" t="s">
        <v>169</v>
      </c>
      <c r="E77" s="112"/>
      <c r="F77" s="315" t="s">
        <v>75</v>
      </c>
      <c r="G77" s="112"/>
      <c r="H77" s="315" t="s">
        <v>170</v>
      </c>
      <c r="I77" s="112"/>
      <c r="J77" s="315" t="s">
        <v>64</v>
      </c>
      <c r="K77" s="112"/>
      <c r="L77" s="315" t="s">
        <v>62</v>
      </c>
      <c r="M77" s="112"/>
      <c r="N77" s="344" t="s">
        <v>121</v>
      </c>
      <c r="O77" s="112"/>
      <c r="P77" s="315" t="s">
        <v>120</v>
      </c>
      <c r="Q77" s="112"/>
      <c r="R77" s="344" t="s">
        <v>175</v>
      </c>
      <c r="S77" s="112"/>
      <c r="T77" s="315" t="s">
        <v>211</v>
      </c>
      <c r="U77" s="112"/>
      <c r="V77" s="315" t="s">
        <v>171</v>
      </c>
      <c r="W77" s="112"/>
      <c r="X77" s="112" t="s">
        <v>172</v>
      </c>
      <c r="Y77" s="112"/>
      <c r="Z77" s="112" t="s">
        <v>3</v>
      </c>
    </row>
    <row r="78" spans="2:26" s="3" customFormat="1" ht="23.25">
      <c r="B78" s="313" t="s">
        <v>5</v>
      </c>
      <c r="C78" s="315"/>
      <c r="D78" s="313" t="s">
        <v>173</v>
      </c>
      <c r="E78" s="112"/>
      <c r="F78" s="313" t="s">
        <v>1</v>
      </c>
      <c r="G78" s="112"/>
      <c r="H78" s="313" t="s">
        <v>174</v>
      </c>
      <c r="I78" s="112"/>
      <c r="J78" s="313" t="s">
        <v>82</v>
      </c>
      <c r="K78" s="112"/>
      <c r="L78" s="313" t="s">
        <v>63</v>
      </c>
      <c r="M78" s="112"/>
      <c r="N78" s="346"/>
      <c r="O78" s="112"/>
      <c r="P78" s="313" t="s">
        <v>119</v>
      </c>
      <c r="Q78" s="112"/>
      <c r="R78" s="346"/>
      <c r="S78" s="112"/>
      <c r="T78" s="313" t="s">
        <v>176</v>
      </c>
      <c r="U78" s="112"/>
      <c r="V78" s="313" t="s">
        <v>176</v>
      </c>
      <c r="W78" s="112"/>
      <c r="X78" s="313" t="s">
        <v>177</v>
      </c>
      <c r="Y78" s="112"/>
      <c r="Z78" s="313" t="s">
        <v>2</v>
      </c>
    </row>
    <row r="79" spans="2:26" s="3" customFormat="1" ht="23.25">
      <c r="B79" s="112"/>
      <c r="C79" s="315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64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64"/>
    </row>
    <row r="80" spans="2:27" s="3" customFormat="1" ht="21" customHeight="1">
      <c r="B80" s="315"/>
      <c r="C80" s="50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56"/>
    </row>
    <row r="81" spans="1:27" s="3" customFormat="1" ht="21" customHeight="1">
      <c r="A81" s="3" t="s">
        <v>182</v>
      </c>
      <c r="B81" s="315"/>
      <c r="C81" s="50"/>
      <c r="D81" s="139">
        <v>3969985400</v>
      </c>
      <c r="E81" s="139"/>
      <c r="F81" s="139">
        <v>105412493326</v>
      </c>
      <c r="G81" s="139"/>
      <c r="H81" s="139">
        <v>4981947515</v>
      </c>
      <c r="I81" s="139"/>
      <c r="J81" s="139">
        <v>396998540</v>
      </c>
      <c r="K81" s="139"/>
      <c r="L81" s="139">
        <v>16900000000</v>
      </c>
      <c r="M81" s="139"/>
      <c r="N81" s="139">
        <v>218066589842</v>
      </c>
      <c r="O81" s="139"/>
      <c r="P81" s="139">
        <v>-20703802706</v>
      </c>
      <c r="Q81" s="139"/>
      <c r="R81" s="139">
        <v>-2634623</v>
      </c>
      <c r="S81" s="139"/>
      <c r="T81" s="139">
        <v>-1123771389</v>
      </c>
      <c r="U81" s="139"/>
      <c r="V81" s="139">
        <v>206450425</v>
      </c>
      <c r="W81" s="139"/>
      <c r="X81" s="139">
        <f>SUM(P81:V81)</f>
        <v>-21623758293</v>
      </c>
      <c r="Y81" s="139"/>
      <c r="Z81" s="140">
        <f>SUM(D81:V81)</f>
        <v>328104256330</v>
      </c>
      <c r="AA81" s="56"/>
    </row>
    <row r="82" spans="1:27" s="3" customFormat="1" ht="21" customHeight="1">
      <c r="A82" s="3" t="s">
        <v>146</v>
      </c>
      <c r="B82" s="315"/>
      <c r="C82" s="50"/>
      <c r="D82" s="139"/>
      <c r="E82" s="139"/>
      <c r="F82" s="139"/>
      <c r="G82" s="139"/>
      <c r="H82" s="139"/>
      <c r="I82" s="139"/>
      <c r="J82" s="141"/>
      <c r="K82" s="139"/>
      <c r="L82" s="141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42"/>
      <c r="Y82" s="139"/>
      <c r="Z82" s="140"/>
      <c r="AA82" s="56"/>
    </row>
    <row r="83" spans="1:26" ht="21" customHeight="1" hidden="1">
      <c r="A83" s="2" t="s">
        <v>74</v>
      </c>
      <c r="B83" s="315"/>
      <c r="C83" s="50"/>
      <c r="D83" s="141"/>
      <c r="E83" s="142"/>
      <c r="F83" s="141"/>
      <c r="G83" s="142"/>
      <c r="H83" s="142"/>
      <c r="I83" s="142"/>
      <c r="J83" s="141">
        <v>0</v>
      </c>
      <c r="K83" s="142"/>
      <c r="L83" s="141">
        <v>0</v>
      </c>
      <c r="M83" s="142"/>
      <c r="N83" s="139"/>
      <c r="O83" s="142"/>
      <c r="P83" s="139"/>
      <c r="Q83" s="142"/>
      <c r="R83" s="139"/>
      <c r="S83" s="142"/>
      <c r="T83" s="139"/>
      <c r="U83" s="142"/>
      <c r="V83" s="139"/>
      <c r="W83" s="142"/>
      <c r="X83" s="142">
        <f aca="true" t="shared" si="5" ref="X83:X88">SUM(P83:V83)</f>
        <v>0</v>
      </c>
      <c r="Y83" s="142"/>
      <c r="Z83" s="140">
        <f aca="true" t="shared" si="6" ref="Z83:Z89">SUM(D83:V83)</f>
        <v>0</v>
      </c>
    </row>
    <row r="84" spans="1:26" ht="24">
      <c r="A84" s="2" t="s">
        <v>178</v>
      </c>
      <c r="B84" s="315"/>
      <c r="C84" s="50"/>
      <c r="D84" s="141">
        <v>0</v>
      </c>
      <c r="E84" s="142"/>
      <c r="F84" s="141">
        <v>5126438</v>
      </c>
      <c r="G84" s="142"/>
      <c r="H84" s="141">
        <v>0</v>
      </c>
      <c r="I84" s="142"/>
      <c r="J84" s="141">
        <v>0</v>
      </c>
      <c r="K84" s="142"/>
      <c r="L84" s="141">
        <v>0</v>
      </c>
      <c r="M84" s="142"/>
      <c r="N84" s="142">
        <f>0</f>
        <v>0</v>
      </c>
      <c r="O84" s="142"/>
      <c r="P84" s="142">
        <v>0</v>
      </c>
      <c r="Q84" s="142"/>
      <c r="R84" s="142">
        <v>0</v>
      </c>
      <c r="S84" s="142"/>
      <c r="T84" s="142">
        <v>0</v>
      </c>
      <c r="U84" s="142"/>
      <c r="V84" s="142">
        <v>0</v>
      </c>
      <c r="W84" s="142"/>
      <c r="X84" s="142">
        <f t="shared" si="5"/>
        <v>0</v>
      </c>
      <c r="Y84" s="142"/>
      <c r="Z84" s="141">
        <f t="shared" si="6"/>
        <v>5126438</v>
      </c>
    </row>
    <row r="85" spans="1:26" ht="24" hidden="1">
      <c r="A85" s="2" t="s">
        <v>179</v>
      </c>
      <c r="B85" s="67">
        <v>32</v>
      </c>
      <c r="C85" s="50"/>
      <c r="D85" s="142"/>
      <c r="E85" s="142"/>
      <c r="F85" s="142"/>
      <c r="G85" s="142"/>
      <c r="H85" s="141">
        <v>0</v>
      </c>
      <c r="I85" s="142"/>
      <c r="J85" s="141">
        <v>0</v>
      </c>
      <c r="K85" s="142"/>
      <c r="L85" s="141">
        <v>0</v>
      </c>
      <c r="M85" s="142"/>
      <c r="N85" s="141"/>
      <c r="O85" s="142"/>
      <c r="P85" s="142"/>
      <c r="Q85" s="142"/>
      <c r="R85" s="142"/>
      <c r="S85" s="142"/>
      <c r="T85" s="142"/>
      <c r="U85" s="142"/>
      <c r="V85" s="142"/>
      <c r="W85" s="142"/>
      <c r="X85" s="142">
        <f t="shared" si="5"/>
        <v>0</v>
      </c>
      <c r="Y85" s="142"/>
      <c r="Z85" s="141">
        <f t="shared" si="6"/>
        <v>0</v>
      </c>
    </row>
    <row r="86" spans="1:26" ht="24" hidden="1">
      <c r="A86" s="2" t="s">
        <v>180</v>
      </c>
      <c r="C86" s="50"/>
      <c r="D86" s="142"/>
      <c r="E86" s="142"/>
      <c r="F86" s="142"/>
      <c r="G86" s="142"/>
      <c r="H86" s="141">
        <v>0</v>
      </c>
      <c r="I86" s="142"/>
      <c r="J86" s="141">
        <v>0</v>
      </c>
      <c r="K86" s="142"/>
      <c r="L86" s="141">
        <v>0</v>
      </c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>
        <f t="shared" si="5"/>
        <v>0</v>
      </c>
      <c r="Y86" s="142"/>
      <c r="Z86" s="141">
        <f t="shared" si="6"/>
        <v>0</v>
      </c>
    </row>
    <row r="87" spans="1:26" ht="24">
      <c r="A87" s="2" t="s">
        <v>181</v>
      </c>
      <c r="B87" s="315"/>
      <c r="C87" s="50"/>
      <c r="D87" s="141">
        <v>0</v>
      </c>
      <c r="E87" s="142"/>
      <c r="F87" s="141">
        <v>0</v>
      </c>
      <c r="G87" s="142"/>
      <c r="H87" s="141">
        <v>0</v>
      </c>
      <c r="I87" s="142"/>
      <c r="J87" s="141">
        <v>0</v>
      </c>
      <c r="K87" s="142"/>
      <c r="L87" s="141">
        <v>0</v>
      </c>
      <c r="M87" s="142"/>
      <c r="N87" s="141">
        <f>ROUND(-218291996.37,0)</f>
        <v>-218291996</v>
      </c>
      <c r="O87" s="142"/>
      <c r="P87" s="142">
        <v>0</v>
      </c>
      <c r="Q87" s="142"/>
      <c r="R87" s="142">
        <v>0</v>
      </c>
      <c r="S87" s="142"/>
      <c r="T87" s="142">
        <v>0</v>
      </c>
      <c r="U87" s="142"/>
      <c r="V87" s="142">
        <v>0</v>
      </c>
      <c r="W87" s="142"/>
      <c r="X87" s="142">
        <f t="shared" si="5"/>
        <v>0</v>
      </c>
      <c r="Y87" s="142"/>
      <c r="Z87" s="141">
        <f t="shared" si="6"/>
        <v>-218291996</v>
      </c>
    </row>
    <row r="88" spans="1:26" ht="21" customHeight="1">
      <c r="A88" s="2" t="s">
        <v>78</v>
      </c>
      <c r="B88" s="67">
        <v>23</v>
      </c>
      <c r="C88" s="50"/>
      <c r="D88" s="141">
        <v>0</v>
      </c>
      <c r="E88" s="142"/>
      <c r="F88" s="141">
        <v>0</v>
      </c>
      <c r="G88" s="142"/>
      <c r="H88" s="141">
        <v>0</v>
      </c>
      <c r="I88" s="142"/>
      <c r="J88" s="141">
        <v>0</v>
      </c>
      <c r="K88" s="142"/>
      <c r="L88" s="141">
        <v>0</v>
      </c>
      <c r="M88" s="142"/>
      <c r="N88" s="4">
        <f>ROUND(-23848069080.017,0)</f>
        <v>-23848069080</v>
      </c>
      <c r="O88" s="142"/>
      <c r="P88" s="142">
        <v>0</v>
      </c>
      <c r="Q88" s="142"/>
      <c r="R88" s="142">
        <v>0</v>
      </c>
      <c r="S88" s="142"/>
      <c r="T88" s="142">
        <v>0</v>
      </c>
      <c r="U88" s="142"/>
      <c r="V88" s="142">
        <v>0</v>
      </c>
      <c r="W88" s="142"/>
      <c r="X88" s="142">
        <f t="shared" si="5"/>
        <v>0</v>
      </c>
      <c r="Y88" s="142"/>
      <c r="Z88" s="141">
        <f t="shared" si="6"/>
        <v>-23848069080</v>
      </c>
    </row>
    <row r="89" spans="1:28" ht="21" customHeight="1">
      <c r="A89" s="2" t="s">
        <v>184</v>
      </c>
      <c r="C89" s="50"/>
      <c r="D89" s="141">
        <v>0</v>
      </c>
      <c r="E89" s="142"/>
      <c r="F89" s="141">
        <v>0</v>
      </c>
      <c r="G89" s="142"/>
      <c r="H89" s="141">
        <v>0</v>
      </c>
      <c r="I89" s="142"/>
      <c r="J89" s="141">
        <v>0</v>
      </c>
      <c r="K89" s="142"/>
      <c r="L89" s="141">
        <v>0</v>
      </c>
      <c r="M89" s="142"/>
      <c r="N89" s="141">
        <f>'FS-Conso'!G224</f>
        <v>48727371165</v>
      </c>
      <c r="O89" s="142"/>
      <c r="P89" s="141">
        <f>ROUND(8485765853.24248+59004597.2632751,0)+1</f>
        <v>8544770452</v>
      </c>
      <c r="Q89" s="142"/>
      <c r="R89" s="141">
        <f>ROUND(11285907.0344358,0)</f>
        <v>11285907</v>
      </c>
      <c r="S89" s="142"/>
      <c r="T89" s="141">
        <f>ROUND(491003306.160723,0)</f>
        <v>491003306</v>
      </c>
      <c r="U89" s="142"/>
      <c r="V89" s="141">
        <f>ROUND(-81982635.3250704,0)</f>
        <v>-81982635</v>
      </c>
      <c r="W89" s="142"/>
      <c r="X89" s="142">
        <f>SUM(P89:V89)</f>
        <v>8965077030</v>
      </c>
      <c r="Y89" s="142"/>
      <c r="Z89" s="141">
        <f t="shared" si="6"/>
        <v>57692448195</v>
      </c>
      <c r="AB89" s="1"/>
    </row>
    <row r="90" spans="1:27" s="3" customFormat="1" ht="24" customHeight="1" thickBot="1">
      <c r="A90" s="3" t="str">
        <f>A44</f>
        <v>ยอดคงเหลือ ณ วันที่ 30 กันยายน 2556</v>
      </c>
      <c r="B90" s="315"/>
      <c r="C90" s="50"/>
      <c r="D90" s="143">
        <f>SUM(D81:D89)</f>
        <v>3969985400</v>
      </c>
      <c r="E90" s="142"/>
      <c r="F90" s="143">
        <f aca="true" t="shared" si="7" ref="F90:L90">SUM(F81:F89)</f>
        <v>105417619764</v>
      </c>
      <c r="G90" s="139"/>
      <c r="H90" s="143">
        <f t="shared" si="7"/>
        <v>4981947515</v>
      </c>
      <c r="I90" s="139"/>
      <c r="J90" s="143">
        <f t="shared" si="7"/>
        <v>396998540</v>
      </c>
      <c r="K90" s="139"/>
      <c r="L90" s="143">
        <f t="shared" si="7"/>
        <v>16900000000</v>
      </c>
      <c r="M90" s="139"/>
      <c r="N90" s="143">
        <f>SUM(N81:N89)</f>
        <v>242727599931</v>
      </c>
      <c r="O90" s="139"/>
      <c r="P90" s="143">
        <f>SUM(P81:P89)</f>
        <v>-12159032254</v>
      </c>
      <c r="Q90" s="139"/>
      <c r="R90" s="143">
        <f>SUM(R81:R89)</f>
        <v>8651284</v>
      </c>
      <c r="S90" s="139"/>
      <c r="T90" s="143">
        <f>SUM(T81:T89)</f>
        <v>-632768083</v>
      </c>
      <c r="U90" s="139"/>
      <c r="V90" s="143">
        <f>SUM(V81:V89)</f>
        <v>124467790</v>
      </c>
      <c r="W90" s="139"/>
      <c r="X90" s="143">
        <f>SUM(X81:X89)</f>
        <v>-12658681263</v>
      </c>
      <c r="Y90" s="139"/>
      <c r="Z90" s="143">
        <f>SUM(D90:V90)</f>
        <v>361735469887</v>
      </c>
      <c r="AA90" s="56"/>
    </row>
    <row r="91" spans="2:26" ht="21" customHeight="1">
      <c r="B91" s="315"/>
      <c r="C91" s="50"/>
      <c r="D91" s="4"/>
      <c r="E91" s="65"/>
      <c r="F91" s="4"/>
      <c r="G91" s="65"/>
      <c r="H91" s="4"/>
      <c r="I91" s="65"/>
      <c r="J91" s="4"/>
      <c r="K91" s="65"/>
      <c r="L91" s="4"/>
      <c r="M91" s="65"/>
      <c r="N91" s="4"/>
      <c r="O91" s="65"/>
      <c r="P91" s="4"/>
      <c r="Q91" s="65"/>
      <c r="R91" s="4"/>
      <c r="T91" s="153"/>
      <c r="V91" s="153"/>
      <c r="X91" s="153"/>
      <c r="Z91" s="122"/>
    </row>
    <row r="92" spans="2:18" ht="10.5" customHeight="1">
      <c r="B92" s="315"/>
      <c r="C92" s="50"/>
      <c r="E92" s="50"/>
      <c r="I92" s="50"/>
      <c r="M92" s="50"/>
      <c r="R92" s="57"/>
    </row>
    <row r="93" spans="1:26" ht="24">
      <c r="A93" s="2" t="str">
        <f>A47</f>
        <v>หมายเหตุประกอบข้อมูลทางการเงินระหว่างกาลเป็นส่วนหนึ่งของข้อมูลทางการเงินนี้       </v>
      </c>
      <c r="F93" s="1"/>
      <c r="L93" s="110"/>
      <c r="N93" s="1"/>
      <c r="P93" s="1"/>
      <c r="Q93" s="158"/>
      <c r="R93" s="1"/>
      <c r="S93" s="158"/>
      <c r="T93" s="1"/>
      <c r="U93" s="158"/>
      <c r="V93" s="1"/>
      <c r="Z93" s="155"/>
    </row>
    <row r="94" spans="4:26" ht="24">
      <c r="D94" s="1"/>
      <c r="E94" s="158"/>
      <c r="F94" s="1"/>
      <c r="G94" s="158"/>
      <c r="H94" s="1"/>
      <c r="I94" s="158"/>
      <c r="J94" s="1"/>
      <c r="L94" s="1"/>
      <c r="M94" s="158"/>
      <c r="N94" s="1"/>
      <c r="O94" s="158"/>
      <c r="P94" s="1"/>
      <c r="Q94" s="158"/>
      <c r="R94" s="1"/>
      <c r="S94" s="158"/>
      <c r="T94" s="1"/>
      <c r="U94" s="158"/>
      <c r="V94" s="1"/>
      <c r="X94" s="1"/>
      <c r="Z94" s="1"/>
    </row>
  </sheetData>
  <sheetProtection/>
  <mergeCells count="33">
    <mergeCell ref="R72:T72"/>
    <mergeCell ref="P74:X74"/>
    <mergeCell ref="J75:N75"/>
    <mergeCell ref="P75:V75"/>
    <mergeCell ref="N77:N78"/>
    <mergeCell ref="R77:R78"/>
    <mergeCell ref="N60:N61"/>
    <mergeCell ref="N31:N32"/>
    <mergeCell ref="R31:R32"/>
    <mergeCell ref="A48:AB48"/>
    <mergeCell ref="A51:AB51"/>
    <mergeCell ref="A52:AB52"/>
    <mergeCell ref="A53:AB53"/>
    <mergeCell ref="A54:AB54"/>
    <mergeCell ref="R56:T56"/>
    <mergeCell ref="J58:N58"/>
    <mergeCell ref="P57:X57"/>
    <mergeCell ref="P58:V58"/>
    <mergeCell ref="R60:R61"/>
    <mergeCell ref="J29:N29"/>
    <mergeCell ref="P29:V29"/>
    <mergeCell ref="A1:AB1"/>
    <mergeCell ref="A4:AB4"/>
    <mergeCell ref="A5:AB5"/>
    <mergeCell ref="A6:AB6"/>
    <mergeCell ref="A7:AB7"/>
    <mergeCell ref="R9:T9"/>
    <mergeCell ref="J11:N11"/>
    <mergeCell ref="N13:N14"/>
    <mergeCell ref="P28:X28"/>
    <mergeCell ref="P10:X10"/>
    <mergeCell ref="P11:V11"/>
    <mergeCell ref="R13:R14"/>
  </mergeCells>
  <printOptions/>
  <pageMargins left="0.17" right="0.15748031496063" top="0.8" bottom="0.47244094488189" header="0.236220472440945" footer="0.15748031496063"/>
  <pageSetup fitToHeight="2" fitToWidth="4" horizontalDpi="600" verticalDpi="600" orientation="landscape" paperSize="9" scale="50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170"/>
  <sheetViews>
    <sheetView zoomScale="90" zoomScaleNormal="90" zoomScaleSheetLayoutView="70" zoomScalePageLayoutView="90" workbookViewId="0" topLeftCell="A1">
      <selection activeCell="L254" sqref="L254"/>
    </sheetView>
  </sheetViews>
  <sheetFormatPr defaultColWidth="9.140625" defaultRowHeight="21.75"/>
  <cols>
    <col min="1" max="1" width="46.140625" style="171" customWidth="1"/>
    <col min="2" max="2" width="10.7109375" style="194" customWidth="1"/>
    <col min="3" max="3" width="1.8515625" style="171" customWidth="1"/>
    <col min="4" max="4" width="17.57421875" style="171" bestFit="1" customWidth="1"/>
    <col min="5" max="5" width="1.8515625" style="171" customWidth="1"/>
    <col min="6" max="6" width="19.8515625" style="171" bestFit="1" customWidth="1"/>
    <col min="7" max="7" width="1.8515625" style="171" customWidth="1"/>
    <col min="8" max="8" width="19.00390625" style="171" customWidth="1"/>
    <col min="9" max="9" width="1.8515625" style="171" customWidth="1"/>
    <col min="10" max="10" width="19.140625" style="171" bestFit="1" customWidth="1"/>
    <col min="11" max="11" width="1.8515625" style="171" customWidth="1"/>
    <col min="12" max="12" width="18.7109375" style="171" bestFit="1" customWidth="1"/>
    <col min="13" max="13" width="1.8515625" style="171" customWidth="1"/>
    <col min="14" max="14" width="22.28125" style="171" bestFit="1" customWidth="1"/>
    <col min="15" max="15" width="1.8515625" style="171" customWidth="1"/>
    <col min="16" max="16" width="22.8515625" style="171" bestFit="1" customWidth="1"/>
    <col min="17" max="17" width="1.8515625" style="171" customWidth="1"/>
    <col min="18" max="18" width="22.8515625" style="171" bestFit="1" customWidth="1"/>
    <col min="19" max="19" width="1.7109375" style="171" customWidth="1"/>
    <col min="20" max="20" width="22.8515625" style="171" bestFit="1" customWidth="1"/>
    <col min="21" max="21" width="1.7109375" style="171" customWidth="1"/>
    <col min="22" max="22" width="22.8515625" style="171" bestFit="1" customWidth="1"/>
    <col min="23" max="23" width="1.7109375" style="171" customWidth="1"/>
    <col min="24" max="24" width="19.8515625" style="171" bestFit="1" customWidth="1"/>
    <col min="25" max="25" width="1.7109375" style="171" customWidth="1"/>
    <col min="26" max="26" width="19.00390625" style="171" bestFit="1" customWidth="1"/>
    <col min="27" max="16384" width="9.140625" style="171" customWidth="1"/>
  </cols>
  <sheetData>
    <row r="1" spans="1:26" ht="21.75" customHeight="1">
      <c r="A1" s="352">
        <v>17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</row>
    <row r="2" spans="1:24" ht="21.75" customHeight="1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S2" s="320"/>
      <c r="X2" s="238" t="s">
        <v>113</v>
      </c>
    </row>
    <row r="3" spans="1:24" ht="21.75" customHeight="1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S3" s="320"/>
      <c r="X3" s="238" t="s">
        <v>114</v>
      </c>
    </row>
    <row r="4" spans="1:26" ht="21.75" customHeight="1">
      <c r="A4" s="347" t="s">
        <v>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</row>
    <row r="5" spans="1:26" s="164" customFormat="1" ht="24.75" customHeight="1">
      <c r="A5" s="347" t="s">
        <v>0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</row>
    <row r="6" spans="1:26" s="164" customFormat="1" ht="23.25">
      <c r="A6" s="347" t="str">
        <f>+'FS-The Company'!A190</f>
        <v>สำหรับงวดเก้าเดือนสิ้นสุดวันที่ 30 กันยายน 2556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</row>
    <row r="7" spans="1:26" s="164" customFormat="1" ht="24.75" customHeight="1">
      <c r="A7" s="347" t="s">
        <v>238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</row>
    <row r="8" spans="2:24" s="164" customFormat="1" ht="28.5" customHeight="1">
      <c r="B8" s="317"/>
      <c r="X8" s="319" t="s">
        <v>128</v>
      </c>
    </row>
    <row r="9" spans="2:18" s="164" customFormat="1" ht="28.5" customHeight="1">
      <c r="B9" s="317"/>
      <c r="P9" s="349"/>
      <c r="Q9" s="349"/>
      <c r="R9" s="349"/>
    </row>
    <row r="10" spans="2:20" s="164" customFormat="1" ht="28.5" customHeight="1">
      <c r="B10" s="317"/>
      <c r="J10" s="239"/>
      <c r="K10" s="239"/>
      <c r="L10" s="239"/>
      <c r="M10" s="239"/>
      <c r="N10" s="239"/>
      <c r="P10" s="348" t="s">
        <v>118</v>
      </c>
      <c r="Q10" s="348"/>
      <c r="R10" s="348"/>
      <c r="S10" s="348"/>
      <c r="T10" s="348"/>
    </row>
    <row r="11" spans="2:20" s="164" customFormat="1" ht="23.25">
      <c r="B11" s="317"/>
      <c r="C11" s="317"/>
      <c r="D11" s="317"/>
      <c r="E11" s="317"/>
      <c r="F11" s="317"/>
      <c r="G11" s="317"/>
      <c r="H11" s="317"/>
      <c r="I11" s="317"/>
      <c r="J11" s="348" t="s">
        <v>76</v>
      </c>
      <c r="K11" s="348"/>
      <c r="L11" s="348"/>
      <c r="M11" s="348"/>
      <c r="N11" s="348"/>
      <c r="O11" s="317"/>
      <c r="P11" s="348" t="s">
        <v>167</v>
      </c>
      <c r="Q11" s="348"/>
      <c r="R11" s="348"/>
      <c r="T11" s="317"/>
    </row>
    <row r="12" spans="2:24" s="164" customFormat="1" ht="23.25">
      <c r="B12" s="317"/>
      <c r="C12" s="317"/>
      <c r="D12" s="317"/>
      <c r="E12" s="317"/>
      <c r="F12" s="317"/>
      <c r="G12" s="317"/>
      <c r="H12" s="317"/>
      <c r="I12" s="317"/>
      <c r="J12" s="240"/>
      <c r="K12" s="240"/>
      <c r="L12" s="240"/>
      <c r="M12" s="240"/>
      <c r="N12" s="240"/>
      <c r="O12" s="317"/>
      <c r="P12" s="317"/>
      <c r="Q12" s="239"/>
      <c r="R12" s="317" t="s">
        <v>168</v>
      </c>
      <c r="U12" s="239"/>
      <c r="V12" s="317"/>
      <c r="X12" s="317"/>
    </row>
    <row r="13" spans="2:22" s="164" customFormat="1" ht="23.25">
      <c r="B13" s="317"/>
      <c r="C13" s="317"/>
      <c r="D13" s="317" t="s">
        <v>169</v>
      </c>
      <c r="E13" s="317"/>
      <c r="F13" s="317" t="s">
        <v>75</v>
      </c>
      <c r="G13" s="317"/>
      <c r="H13" s="317" t="s">
        <v>170</v>
      </c>
      <c r="I13" s="317"/>
      <c r="J13" s="317" t="s">
        <v>64</v>
      </c>
      <c r="K13" s="317"/>
      <c r="L13" s="317" t="s">
        <v>62</v>
      </c>
      <c r="M13" s="317"/>
      <c r="N13" s="347" t="s">
        <v>121</v>
      </c>
      <c r="O13" s="317"/>
      <c r="P13" s="317" t="s">
        <v>211</v>
      </c>
      <c r="Q13" s="317"/>
      <c r="R13" s="317" t="s">
        <v>171</v>
      </c>
      <c r="S13" s="317"/>
      <c r="T13" s="240" t="s">
        <v>172</v>
      </c>
      <c r="U13" s="317"/>
      <c r="V13" s="240" t="s">
        <v>3</v>
      </c>
    </row>
    <row r="14" spans="2:22" s="164" customFormat="1" ht="23.25">
      <c r="B14" s="318" t="s">
        <v>5</v>
      </c>
      <c r="C14" s="317"/>
      <c r="D14" s="318" t="s">
        <v>173</v>
      </c>
      <c r="E14" s="317"/>
      <c r="F14" s="318" t="s">
        <v>1</v>
      </c>
      <c r="G14" s="317"/>
      <c r="H14" s="318" t="s">
        <v>174</v>
      </c>
      <c r="I14" s="317"/>
      <c r="J14" s="318" t="s">
        <v>82</v>
      </c>
      <c r="K14" s="317"/>
      <c r="L14" s="318" t="s">
        <v>63</v>
      </c>
      <c r="M14" s="240"/>
      <c r="N14" s="351"/>
      <c r="O14" s="317"/>
      <c r="P14" s="318" t="s">
        <v>176</v>
      </c>
      <c r="Q14" s="240"/>
      <c r="R14" s="318" t="s">
        <v>176</v>
      </c>
      <c r="S14" s="240"/>
      <c r="T14" s="318" t="s">
        <v>177</v>
      </c>
      <c r="U14" s="240"/>
      <c r="V14" s="318" t="s">
        <v>2</v>
      </c>
    </row>
    <row r="15" spans="2:22" s="164" customFormat="1" ht="23.25"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</row>
    <row r="16" spans="2:23" s="164" customFormat="1" ht="21" customHeight="1">
      <c r="B16" s="317"/>
      <c r="C16" s="241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42"/>
    </row>
    <row r="17" spans="1:23" s="164" customFormat="1" ht="24">
      <c r="A17" s="164" t="s">
        <v>134</v>
      </c>
      <c r="B17" s="317"/>
      <c r="C17" s="241"/>
      <c r="D17" s="7">
        <v>129475062</v>
      </c>
      <c r="E17" s="7"/>
      <c r="F17" s="7">
        <v>469655446</v>
      </c>
      <c r="G17" s="7"/>
      <c r="H17" s="7">
        <v>0</v>
      </c>
      <c r="I17" s="7"/>
      <c r="J17" s="7">
        <v>12963632</v>
      </c>
      <c r="K17" s="7"/>
      <c r="L17" s="7">
        <v>431231212</v>
      </c>
      <c r="M17" s="7"/>
      <c r="N17" s="7">
        <v>3381288319</v>
      </c>
      <c r="O17" s="7"/>
      <c r="P17" s="7">
        <v>-11920073</v>
      </c>
      <c r="Q17" s="7"/>
      <c r="R17" s="7">
        <v>2391260</v>
      </c>
      <c r="S17" s="7"/>
      <c r="T17" s="7">
        <v>-9528813</v>
      </c>
      <c r="U17" s="7"/>
      <c r="V17" s="140">
        <f>SUM(D17:N17,T17)</f>
        <v>4415084858</v>
      </c>
      <c r="W17" s="242"/>
    </row>
    <row r="18" spans="1:25" s="164" customFormat="1" ht="24">
      <c r="A18" s="164" t="s">
        <v>146</v>
      </c>
      <c r="B18" s="317"/>
      <c r="C18" s="24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140"/>
      <c r="W18" s="7"/>
      <c r="X18" s="6"/>
      <c r="Y18" s="242"/>
    </row>
    <row r="19" spans="1:22" ht="24">
      <c r="A19" s="171" t="s">
        <v>180</v>
      </c>
      <c r="C19" s="241"/>
      <c r="D19" s="141">
        <v>0</v>
      </c>
      <c r="E19" s="141"/>
      <c r="F19" s="139">
        <v>0</v>
      </c>
      <c r="G19" s="141"/>
      <c r="H19" s="4">
        <v>156752370</v>
      </c>
      <c r="I19" s="141"/>
      <c r="J19" s="139">
        <v>0</v>
      </c>
      <c r="K19" s="141"/>
      <c r="L19" s="139">
        <v>0</v>
      </c>
      <c r="M19" s="141"/>
      <c r="N19" s="139">
        <v>0</v>
      </c>
      <c r="O19" s="141"/>
      <c r="P19" s="139">
        <v>0</v>
      </c>
      <c r="Q19" s="141"/>
      <c r="R19" s="139">
        <v>0</v>
      </c>
      <c r="S19" s="141"/>
      <c r="T19" s="139">
        <v>0</v>
      </c>
      <c r="U19" s="141"/>
      <c r="V19" s="141">
        <f>SUM(D19:N19,T19)</f>
        <v>156752370</v>
      </c>
    </row>
    <row r="20" spans="1:22" ht="24">
      <c r="A20" s="171" t="s">
        <v>181</v>
      </c>
      <c r="C20" s="241"/>
      <c r="D20" s="141">
        <v>0</v>
      </c>
      <c r="E20" s="141"/>
      <c r="F20" s="139">
        <v>0</v>
      </c>
      <c r="G20" s="141"/>
      <c r="H20" s="4">
        <v>0</v>
      </c>
      <c r="I20" s="141"/>
      <c r="J20" s="139">
        <v>0</v>
      </c>
      <c r="K20" s="141"/>
      <c r="L20" s="139">
        <v>0</v>
      </c>
      <c r="M20" s="141"/>
      <c r="N20" s="142">
        <v>-2379187</v>
      </c>
      <c r="O20" s="141"/>
      <c r="P20" s="139">
        <v>0</v>
      </c>
      <c r="Q20" s="141"/>
      <c r="R20" s="139">
        <v>0</v>
      </c>
      <c r="S20" s="141"/>
      <c r="T20" s="139">
        <v>0</v>
      </c>
      <c r="U20" s="141"/>
      <c r="V20" s="141">
        <f>SUM(D20:N20,T20)</f>
        <v>-2379187</v>
      </c>
    </row>
    <row r="21" spans="1:22" ht="24">
      <c r="A21" s="171" t="s">
        <v>78</v>
      </c>
      <c r="C21" s="241"/>
      <c r="D21" s="4">
        <v>0</v>
      </c>
      <c r="E21" s="4"/>
      <c r="F21" s="4">
        <v>0</v>
      </c>
      <c r="G21" s="4"/>
      <c r="H21" s="4">
        <v>0</v>
      </c>
      <c r="I21" s="4"/>
      <c r="J21" s="4">
        <v>0</v>
      </c>
      <c r="K21" s="4"/>
      <c r="L21" s="4">
        <v>0</v>
      </c>
      <c r="M21" s="4"/>
      <c r="N21" s="4">
        <v>-589297408</v>
      </c>
      <c r="O21" s="4"/>
      <c r="P21" s="4">
        <v>0</v>
      </c>
      <c r="Q21" s="4"/>
      <c r="R21" s="4">
        <v>0</v>
      </c>
      <c r="S21" s="4"/>
      <c r="T21" s="4">
        <v>0</v>
      </c>
      <c r="U21" s="4"/>
      <c r="V21" s="141">
        <f>SUM(D21:N21,T21)</f>
        <v>-589297408</v>
      </c>
    </row>
    <row r="22" spans="1:22" ht="24">
      <c r="A22" s="171" t="s">
        <v>184</v>
      </c>
      <c r="B22" s="317"/>
      <c r="C22" s="241"/>
      <c r="D22" s="4">
        <v>0</v>
      </c>
      <c r="E22" s="4"/>
      <c r="F22" s="4">
        <v>0</v>
      </c>
      <c r="G22" s="4"/>
      <c r="H22" s="4">
        <v>0</v>
      </c>
      <c r="I22" s="4"/>
      <c r="J22" s="4">
        <v>0</v>
      </c>
      <c r="K22" s="4"/>
      <c r="L22" s="4">
        <v>0</v>
      </c>
      <c r="M22" s="4"/>
      <c r="N22" s="4">
        <v>1122366817</v>
      </c>
      <c r="O22" s="4"/>
      <c r="P22" s="4">
        <v>-27512390</v>
      </c>
      <c r="Q22" s="4"/>
      <c r="R22" s="4">
        <v>5495233</v>
      </c>
      <c r="S22" s="4"/>
      <c r="T22" s="4">
        <v>-22017157</v>
      </c>
      <c r="U22" s="4"/>
      <c r="V22" s="300">
        <f>SUM(D22:N22,T22)</f>
        <v>1100349660</v>
      </c>
    </row>
    <row r="23" spans="1:23" s="164" customFormat="1" ht="24.75" thickBot="1">
      <c r="A23" s="164" t="s">
        <v>232</v>
      </c>
      <c r="B23" s="317"/>
      <c r="C23" s="241"/>
      <c r="D23" s="49">
        <f aca="true" t="shared" si="0" ref="D23:L23">SUM(D17:D22)</f>
        <v>129475062</v>
      </c>
      <c r="E23" s="4"/>
      <c r="F23" s="49">
        <f t="shared" si="0"/>
        <v>469655446</v>
      </c>
      <c r="G23" s="4"/>
      <c r="H23" s="49">
        <f t="shared" si="0"/>
        <v>156752370</v>
      </c>
      <c r="I23" s="4"/>
      <c r="J23" s="49">
        <f t="shared" si="0"/>
        <v>12963632</v>
      </c>
      <c r="K23" s="4"/>
      <c r="L23" s="49">
        <f t="shared" si="0"/>
        <v>431231212</v>
      </c>
      <c r="M23" s="6"/>
      <c r="N23" s="49">
        <f>SUM(N17:N22)</f>
        <v>3911978541</v>
      </c>
      <c r="O23" s="6"/>
      <c r="P23" s="49">
        <f>SUM(P17:P22)</f>
        <v>-39432463</v>
      </c>
      <c r="Q23" s="6"/>
      <c r="R23" s="49">
        <f>SUM(R17:R22)</f>
        <v>7886493</v>
      </c>
      <c r="S23" s="6"/>
      <c r="T23" s="49">
        <f>SUM(T17:T22)</f>
        <v>-31545970</v>
      </c>
      <c r="U23" s="7"/>
      <c r="V23" s="143">
        <f>SUM(D23:N23,T23)</f>
        <v>5080510293</v>
      </c>
      <c r="W23" s="242"/>
    </row>
    <row r="24" spans="2:20" ht="21" customHeight="1">
      <c r="B24" s="317"/>
      <c r="C24" s="24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5" s="164" customFormat="1" ht="28.5" customHeight="1">
      <c r="B25" s="317"/>
      <c r="P25" s="349"/>
      <c r="Q25" s="349"/>
      <c r="R25" s="349"/>
      <c r="X25" s="319" t="s">
        <v>128</v>
      </c>
      <c r="Y25" s="319"/>
    </row>
    <row r="26" spans="2:22" s="164" customFormat="1" ht="28.5" customHeight="1">
      <c r="B26" s="317"/>
      <c r="L26" s="239"/>
      <c r="M26" s="239"/>
      <c r="N26" s="239"/>
      <c r="O26" s="239"/>
      <c r="P26" s="348" t="s">
        <v>118</v>
      </c>
      <c r="Q26" s="348"/>
      <c r="R26" s="348"/>
      <c r="S26" s="348"/>
      <c r="T26" s="348"/>
      <c r="U26" s="319"/>
      <c r="V26" s="317"/>
    </row>
    <row r="27" spans="2:22" s="164" customFormat="1" ht="23.25">
      <c r="B27" s="317"/>
      <c r="C27" s="317"/>
      <c r="D27" s="317"/>
      <c r="E27" s="317"/>
      <c r="F27" s="317"/>
      <c r="G27" s="317"/>
      <c r="H27" s="317"/>
      <c r="I27" s="317"/>
      <c r="J27" s="348" t="s">
        <v>76</v>
      </c>
      <c r="K27" s="348"/>
      <c r="L27" s="348"/>
      <c r="M27" s="348"/>
      <c r="N27" s="348"/>
      <c r="O27" s="317"/>
      <c r="P27" s="350" t="s">
        <v>167</v>
      </c>
      <c r="Q27" s="350"/>
      <c r="R27" s="350"/>
      <c r="V27" s="317"/>
    </row>
    <row r="28" spans="2:22" s="164" customFormat="1" ht="23.25">
      <c r="B28" s="317"/>
      <c r="C28" s="317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243"/>
      <c r="O28" s="317"/>
      <c r="P28" s="317"/>
      <c r="Q28" s="317"/>
      <c r="R28" s="317" t="s">
        <v>168</v>
      </c>
      <c r="S28" s="317"/>
      <c r="T28" s="240"/>
      <c r="U28" s="317"/>
      <c r="V28" s="240"/>
    </row>
    <row r="29" spans="2:22" s="164" customFormat="1" ht="23.25">
      <c r="B29" s="317"/>
      <c r="C29" s="317"/>
      <c r="D29" s="317" t="s">
        <v>169</v>
      </c>
      <c r="E29" s="317"/>
      <c r="F29" s="317" t="s">
        <v>75</v>
      </c>
      <c r="G29" s="317"/>
      <c r="H29" s="317" t="s">
        <v>170</v>
      </c>
      <c r="I29" s="317"/>
      <c r="J29" s="317" t="s">
        <v>64</v>
      </c>
      <c r="K29" s="317"/>
      <c r="L29" s="317" t="s">
        <v>62</v>
      </c>
      <c r="M29" s="317"/>
      <c r="N29" s="347" t="s">
        <v>121</v>
      </c>
      <c r="O29" s="317"/>
      <c r="P29" s="317" t="s">
        <v>211</v>
      </c>
      <c r="Q29" s="317"/>
      <c r="R29" s="317" t="s">
        <v>171</v>
      </c>
      <c r="S29" s="317"/>
      <c r="T29" s="240" t="s">
        <v>172</v>
      </c>
      <c r="U29" s="317"/>
      <c r="V29" s="240" t="s">
        <v>3</v>
      </c>
    </row>
    <row r="30" spans="2:22" s="164" customFormat="1" ht="23.25">
      <c r="B30" s="318" t="s">
        <v>5</v>
      </c>
      <c r="C30" s="317"/>
      <c r="D30" s="318" t="s">
        <v>173</v>
      </c>
      <c r="E30" s="317"/>
      <c r="F30" s="318" t="s">
        <v>1</v>
      </c>
      <c r="G30" s="240"/>
      <c r="H30" s="318" t="s">
        <v>174</v>
      </c>
      <c r="I30" s="317"/>
      <c r="J30" s="318" t="s">
        <v>82</v>
      </c>
      <c r="K30" s="317"/>
      <c r="L30" s="318" t="s">
        <v>63</v>
      </c>
      <c r="M30" s="240"/>
      <c r="N30" s="348"/>
      <c r="O30" s="317"/>
      <c r="P30" s="318" t="s">
        <v>176</v>
      </c>
      <c r="Q30" s="240"/>
      <c r="R30" s="318" t="s">
        <v>176</v>
      </c>
      <c r="S30" s="240"/>
      <c r="T30" s="318" t="s">
        <v>177</v>
      </c>
      <c r="U30" s="240"/>
      <c r="V30" s="318" t="s">
        <v>2</v>
      </c>
    </row>
    <row r="31" spans="2:22" ht="21" customHeight="1">
      <c r="B31" s="317"/>
      <c r="C31" s="2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2:25" s="164" customFormat="1" ht="21" customHeight="1">
      <c r="B32" s="317"/>
      <c r="C32" s="241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242"/>
      <c r="X32" s="242"/>
      <c r="Y32" s="242"/>
    </row>
    <row r="33" spans="1:25" s="164" customFormat="1" ht="24">
      <c r="A33" s="164" t="s">
        <v>245</v>
      </c>
      <c r="B33" s="317"/>
      <c r="C33" s="241"/>
      <c r="D33" s="139">
        <v>150683762</v>
      </c>
      <c r="E33" s="139"/>
      <c r="F33" s="139">
        <v>3438921013</v>
      </c>
      <c r="G33" s="139"/>
      <c r="H33" s="139">
        <v>156570483</v>
      </c>
      <c r="I33" s="139"/>
      <c r="J33" s="139">
        <v>15048319</v>
      </c>
      <c r="K33" s="139"/>
      <c r="L33" s="139">
        <v>431231212</v>
      </c>
      <c r="M33" s="139"/>
      <c r="N33" s="139">
        <v>4285805868</v>
      </c>
      <c r="O33" s="139"/>
      <c r="P33" s="139">
        <v>-35437040</v>
      </c>
      <c r="Q33" s="139"/>
      <c r="R33" s="139">
        <v>7087408</v>
      </c>
      <c r="S33" s="139"/>
      <c r="T33" s="139">
        <f>SUM(P33:S33)</f>
        <v>-28349632</v>
      </c>
      <c r="U33" s="139"/>
      <c r="V33" s="140">
        <f>SUM(D33:N33,T33)</f>
        <v>8449911025</v>
      </c>
      <c r="W33" s="242"/>
      <c r="X33" s="242"/>
      <c r="Y33" s="242"/>
    </row>
    <row r="34" spans="1:25" s="164" customFormat="1" ht="24">
      <c r="A34" s="164" t="s">
        <v>146</v>
      </c>
      <c r="B34" s="317"/>
      <c r="C34" s="241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40"/>
      <c r="W34" s="242"/>
      <c r="X34" s="242"/>
      <c r="Y34" s="242"/>
    </row>
    <row r="35" spans="1:22" ht="24" customHeight="1" hidden="1">
      <c r="A35" s="171" t="s">
        <v>74</v>
      </c>
      <c r="B35" s="317"/>
      <c r="C35" s="241"/>
      <c r="D35" s="141">
        <v>0</v>
      </c>
      <c r="E35" s="141"/>
      <c r="F35" s="141">
        <v>0</v>
      </c>
      <c r="G35" s="141"/>
      <c r="H35" s="139">
        <v>0</v>
      </c>
      <c r="I35" s="141"/>
      <c r="J35" s="139">
        <v>0</v>
      </c>
      <c r="K35" s="141"/>
      <c r="L35" s="139">
        <v>0</v>
      </c>
      <c r="M35" s="141"/>
      <c r="N35" s="139">
        <v>0</v>
      </c>
      <c r="O35" s="141"/>
      <c r="P35" s="139">
        <v>0</v>
      </c>
      <c r="Q35" s="141"/>
      <c r="R35" s="142">
        <v>0</v>
      </c>
      <c r="S35" s="141"/>
      <c r="T35" s="139">
        <f aca="true" t="shared" si="1" ref="T35:T41">SUM(P35:S35)</f>
        <v>0</v>
      </c>
      <c r="U35" s="141"/>
      <c r="V35" s="140">
        <f aca="true" t="shared" si="2" ref="V35:V41">SUM(D35:N35,T35)</f>
        <v>0</v>
      </c>
    </row>
    <row r="36" spans="1:22" ht="24">
      <c r="A36" s="171" t="s">
        <v>178</v>
      </c>
      <c r="B36" s="317"/>
      <c r="C36" s="241"/>
      <c r="D36" s="141">
        <v>0</v>
      </c>
      <c r="E36" s="141"/>
      <c r="F36" s="142">
        <v>115599</v>
      </c>
      <c r="G36" s="141"/>
      <c r="H36" s="139">
        <v>0</v>
      </c>
      <c r="I36" s="139">
        <v>0</v>
      </c>
      <c r="J36" s="139">
        <v>0</v>
      </c>
      <c r="K36" s="139">
        <v>0</v>
      </c>
      <c r="L36" s="139">
        <v>0</v>
      </c>
      <c r="M36" s="141"/>
      <c r="N36" s="139">
        <v>0</v>
      </c>
      <c r="O36" s="141"/>
      <c r="P36" s="139">
        <v>0</v>
      </c>
      <c r="Q36" s="141"/>
      <c r="R36" s="142">
        <v>0</v>
      </c>
      <c r="S36" s="141"/>
      <c r="T36" s="139">
        <f t="shared" si="1"/>
        <v>0</v>
      </c>
      <c r="U36" s="141"/>
      <c r="V36" s="141">
        <f t="shared" si="2"/>
        <v>115599</v>
      </c>
    </row>
    <row r="37" spans="1:22" ht="21" customHeight="1" hidden="1">
      <c r="A37" s="171" t="s">
        <v>179</v>
      </c>
      <c r="B37" s="194">
        <v>32</v>
      </c>
      <c r="C37" s="241"/>
      <c r="D37" s="141">
        <v>0</v>
      </c>
      <c r="E37" s="141"/>
      <c r="F37" s="139">
        <v>0</v>
      </c>
      <c r="G37" s="141"/>
      <c r="H37" s="139">
        <v>0</v>
      </c>
      <c r="I37" s="139">
        <v>0</v>
      </c>
      <c r="J37" s="139">
        <v>0</v>
      </c>
      <c r="K37" s="139">
        <v>0</v>
      </c>
      <c r="L37" s="139">
        <v>0</v>
      </c>
      <c r="M37" s="141"/>
      <c r="N37" s="141">
        <v>0</v>
      </c>
      <c r="O37" s="141"/>
      <c r="P37" s="139">
        <v>0</v>
      </c>
      <c r="Q37" s="141"/>
      <c r="R37" s="142">
        <v>0</v>
      </c>
      <c r="S37" s="141"/>
      <c r="T37" s="139">
        <f t="shared" si="1"/>
        <v>0</v>
      </c>
      <c r="U37" s="141"/>
      <c r="V37" s="141">
        <f t="shared" si="2"/>
        <v>0</v>
      </c>
    </row>
    <row r="38" spans="1:22" ht="24" hidden="1">
      <c r="A38" s="171" t="s">
        <v>180</v>
      </c>
      <c r="C38" s="241"/>
      <c r="D38" s="4">
        <v>0</v>
      </c>
      <c r="E38" s="4"/>
      <c r="F38" s="4">
        <v>0</v>
      </c>
      <c r="G38" s="141"/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41"/>
      <c r="N38" s="139">
        <v>0</v>
      </c>
      <c r="O38" s="141"/>
      <c r="P38" s="139">
        <v>0</v>
      </c>
      <c r="Q38" s="141"/>
      <c r="R38" s="142">
        <v>0</v>
      </c>
      <c r="S38" s="141"/>
      <c r="T38" s="139">
        <f t="shared" si="1"/>
        <v>0</v>
      </c>
      <c r="U38" s="141"/>
      <c r="V38" s="141">
        <f t="shared" si="2"/>
        <v>0</v>
      </c>
    </row>
    <row r="39" spans="1:22" ht="24">
      <c r="A39" s="171" t="s">
        <v>181</v>
      </c>
      <c r="B39" s="317"/>
      <c r="C39" s="241"/>
      <c r="D39" s="4">
        <v>0</v>
      </c>
      <c r="E39" s="4"/>
      <c r="F39" s="4">
        <v>0</v>
      </c>
      <c r="G39" s="141"/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41"/>
      <c r="N39" s="141">
        <f>ROUND(-7120705.22,0)</f>
        <v>-7120705</v>
      </c>
      <c r="O39" s="141"/>
      <c r="P39" s="139">
        <v>0</v>
      </c>
      <c r="Q39" s="141"/>
      <c r="R39" s="142">
        <v>0</v>
      </c>
      <c r="S39" s="141"/>
      <c r="T39" s="139">
        <f t="shared" si="1"/>
        <v>0</v>
      </c>
      <c r="U39" s="141"/>
      <c r="V39" s="141">
        <f t="shared" si="2"/>
        <v>-7120705</v>
      </c>
    </row>
    <row r="40" spans="1:22" ht="24">
      <c r="A40" s="171" t="s">
        <v>78</v>
      </c>
      <c r="B40" s="194">
        <v>23</v>
      </c>
      <c r="C40" s="241"/>
      <c r="D40" s="141">
        <v>0</v>
      </c>
      <c r="E40" s="141"/>
      <c r="F40" s="139">
        <v>0</v>
      </c>
      <c r="G40" s="141"/>
      <c r="H40" s="139">
        <v>0</v>
      </c>
      <c r="I40" s="139">
        <v>0</v>
      </c>
      <c r="J40" s="139">
        <v>0</v>
      </c>
      <c r="K40" s="139">
        <v>0</v>
      </c>
      <c r="L40" s="139">
        <v>0</v>
      </c>
      <c r="M40" s="141"/>
      <c r="N40" s="141">
        <f>ROUND(-783278120.42,0)</f>
        <v>-783278120</v>
      </c>
      <c r="O40" s="141"/>
      <c r="P40" s="139">
        <v>0</v>
      </c>
      <c r="Q40" s="141"/>
      <c r="R40" s="142">
        <v>0</v>
      </c>
      <c r="S40" s="141"/>
      <c r="T40" s="139">
        <f t="shared" si="1"/>
        <v>0</v>
      </c>
      <c r="U40" s="141"/>
      <c r="V40" s="141">
        <f t="shared" si="2"/>
        <v>-783278120</v>
      </c>
    </row>
    <row r="41" spans="1:22" ht="24">
      <c r="A41" s="171" t="s">
        <v>184</v>
      </c>
      <c r="C41" s="241"/>
      <c r="D41" s="141">
        <v>0</v>
      </c>
      <c r="E41" s="141"/>
      <c r="F41" s="139">
        <v>0</v>
      </c>
      <c r="G41" s="141"/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41"/>
      <c r="N41" s="141">
        <f>'FS-The Company'!C246</f>
        <v>1079152094</v>
      </c>
      <c r="O41" s="141"/>
      <c r="P41" s="141">
        <v>13369598</v>
      </c>
      <c r="Q41" s="141"/>
      <c r="R41" s="141">
        <v>-2673920</v>
      </c>
      <c r="S41" s="141"/>
      <c r="T41" s="142">
        <f t="shared" si="1"/>
        <v>10695678</v>
      </c>
      <c r="U41" s="141"/>
      <c r="V41" s="300">
        <f t="shared" si="2"/>
        <v>1089847772</v>
      </c>
    </row>
    <row r="42" spans="1:25" s="164" customFormat="1" ht="24.75" thickBot="1">
      <c r="A42" s="164" t="s">
        <v>233</v>
      </c>
      <c r="B42" s="317"/>
      <c r="C42" s="241"/>
      <c r="D42" s="143">
        <f>SUM(D33:D41)</f>
        <v>150683762</v>
      </c>
      <c r="E42" s="140"/>
      <c r="F42" s="143">
        <f aca="true" t="shared" si="3" ref="F42:N42">SUM(F33:F41)</f>
        <v>3439036612</v>
      </c>
      <c r="G42" s="141"/>
      <c r="H42" s="143">
        <f t="shared" si="3"/>
        <v>156570483</v>
      </c>
      <c r="I42" s="139">
        <v>0</v>
      </c>
      <c r="J42" s="143">
        <f t="shared" si="3"/>
        <v>15048319</v>
      </c>
      <c r="K42" s="139">
        <v>0</v>
      </c>
      <c r="L42" s="143">
        <f t="shared" si="3"/>
        <v>431231212</v>
      </c>
      <c r="M42" s="141"/>
      <c r="N42" s="143">
        <f t="shared" si="3"/>
        <v>4574559137</v>
      </c>
      <c r="O42" s="141"/>
      <c r="P42" s="143">
        <f>SUM(P33:P41)</f>
        <v>-22067442</v>
      </c>
      <c r="Q42" s="141"/>
      <c r="R42" s="143">
        <f>SUM(R33:R41)</f>
        <v>4413488</v>
      </c>
      <c r="S42" s="141"/>
      <c r="T42" s="143">
        <f>SUM(T33:T41)</f>
        <v>-17653954</v>
      </c>
      <c r="U42" s="141"/>
      <c r="V42" s="244">
        <f>SUM(D42:N42,T42)</f>
        <v>8749475571</v>
      </c>
      <c r="W42" s="242"/>
      <c r="X42" s="242"/>
      <c r="Y42" s="242"/>
    </row>
    <row r="43" spans="2:25" s="164" customFormat="1" ht="21" customHeight="1">
      <c r="B43" s="317"/>
      <c r="C43" s="241"/>
      <c r="D43" s="139"/>
      <c r="E43" s="140"/>
      <c r="F43" s="139"/>
      <c r="G43" s="139"/>
      <c r="H43" s="139"/>
      <c r="I43" s="140"/>
      <c r="J43" s="139"/>
      <c r="K43" s="140"/>
      <c r="L43" s="139"/>
      <c r="M43" s="140"/>
      <c r="N43" s="139"/>
      <c r="O43" s="140"/>
      <c r="P43" s="139"/>
      <c r="Q43" s="139"/>
      <c r="R43" s="139"/>
      <c r="S43" s="139"/>
      <c r="T43" s="139"/>
      <c r="U43" s="139"/>
      <c r="V43" s="139"/>
      <c r="W43" s="242"/>
      <c r="X43" s="242"/>
      <c r="Y43" s="242"/>
    </row>
    <row r="44" spans="2:25" s="164" customFormat="1" ht="21" customHeight="1">
      <c r="B44" s="317"/>
      <c r="C44" s="241"/>
      <c r="D44" s="139"/>
      <c r="E44" s="140"/>
      <c r="F44" s="139"/>
      <c r="G44" s="139"/>
      <c r="H44" s="139"/>
      <c r="I44" s="140"/>
      <c r="J44" s="139"/>
      <c r="K44" s="140"/>
      <c r="L44" s="139"/>
      <c r="M44" s="140"/>
      <c r="N44" s="139"/>
      <c r="O44" s="140"/>
      <c r="P44" s="139"/>
      <c r="Q44" s="139"/>
      <c r="R44" s="139"/>
      <c r="S44" s="139"/>
      <c r="T44" s="139"/>
      <c r="U44" s="139"/>
      <c r="V44" s="139"/>
      <c r="W44" s="242"/>
      <c r="X44" s="242"/>
      <c r="Y44" s="242"/>
    </row>
    <row r="45" spans="1:21" s="164" customFormat="1" ht="24">
      <c r="A45" s="171" t="str">
        <f>'[2]FS-Conso'!A44</f>
        <v>หมายเหตุประกอบข้อมูลทางการเงินระหว่างกาลเป็นส่วนหนึ่งของข้อมูลทางการเงินนี้       </v>
      </c>
      <c r="B45" s="317"/>
      <c r="C45" s="241"/>
      <c r="D45" s="7"/>
      <c r="E45" s="6"/>
      <c r="F45" s="7"/>
      <c r="G45" s="6"/>
      <c r="H45" s="7"/>
      <c r="I45" s="6"/>
      <c r="J45" s="7"/>
      <c r="K45" s="6"/>
      <c r="L45" s="7"/>
      <c r="M45" s="6"/>
      <c r="N45" s="7"/>
      <c r="O45" s="6"/>
      <c r="P45" s="7"/>
      <c r="Q45" s="7"/>
      <c r="R45" s="7"/>
      <c r="S45" s="7"/>
      <c r="T45" s="7"/>
      <c r="U45" s="242"/>
    </row>
    <row r="46" spans="1:26" ht="27.75">
      <c r="A46" s="352">
        <v>18</v>
      </c>
      <c r="B46" s="352"/>
      <c r="C46" s="352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2"/>
      <c r="W46" s="352"/>
      <c r="X46" s="352"/>
      <c r="Y46" s="352"/>
      <c r="Z46" s="352"/>
    </row>
    <row r="47" spans="1:24" ht="27.75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X47" s="238" t="s">
        <v>113</v>
      </c>
    </row>
    <row r="48" spans="1:24" ht="27.75">
      <c r="A48" s="320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238"/>
      <c r="S48" s="320"/>
      <c r="X48" s="238" t="s">
        <v>114</v>
      </c>
    </row>
    <row r="49" spans="1:26" ht="24">
      <c r="A49" s="347" t="s">
        <v>4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</row>
    <row r="50" spans="1:26" s="164" customFormat="1" ht="23.25">
      <c r="A50" s="347" t="s">
        <v>129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</row>
    <row r="51" spans="1:26" s="164" customFormat="1" ht="23.25">
      <c r="A51" s="347" t="str">
        <f>+A6</f>
        <v>สำหรับงวดเก้าเดือนสิ้นสุดวันที่ 30 กันยายน 2556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7"/>
      <c r="Y51" s="347"/>
      <c r="Z51" s="347"/>
    </row>
    <row r="52" spans="1:26" s="164" customFormat="1" ht="23.25">
      <c r="A52" s="347" t="s">
        <v>238</v>
      </c>
      <c r="B52" s="347"/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</row>
    <row r="53" spans="2:24" s="164" customFormat="1" ht="23.25">
      <c r="B53" s="317"/>
      <c r="X53" s="319" t="s">
        <v>67</v>
      </c>
    </row>
    <row r="54" spans="2:20" s="164" customFormat="1" ht="23.25">
      <c r="B54" s="317"/>
      <c r="R54" s="349"/>
      <c r="S54" s="349"/>
      <c r="T54" s="349"/>
    </row>
    <row r="55" spans="2:22" s="164" customFormat="1" ht="23.25">
      <c r="B55" s="317"/>
      <c r="P55" s="348" t="s">
        <v>118</v>
      </c>
      <c r="Q55" s="348"/>
      <c r="R55" s="348"/>
      <c r="S55" s="348"/>
      <c r="T55" s="348"/>
      <c r="U55" s="348"/>
      <c r="V55" s="348"/>
    </row>
    <row r="56" spans="2:22" s="164" customFormat="1" ht="23.25">
      <c r="B56" s="317"/>
      <c r="C56" s="317"/>
      <c r="D56" s="317"/>
      <c r="E56" s="317"/>
      <c r="F56" s="317"/>
      <c r="G56" s="317"/>
      <c r="H56" s="317"/>
      <c r="I56" s="317"/>
      <c r="J56" s="348" t="s">
        <v>76</v>
      </c>
      <c r="K56" s="348"/>
      <c r="L56" s="348"/>
      <c r="M56" s="348"/>
      <c r="N56" s="348"/>
      <c r="O56" s="317"/>
      <c r="P56" s="350" t="s">
        <v>167</v>
      </c>
      <c r="Q56" s="350"/>
      <c r="R56" s="350"/>
      <c r="S56" s="350"/>
      <c r="T56" s="350"/>
      <c r="V56" s="317"/>
    </row>
    <row r="57" spans="2:22" s="164" customFormat="1" ht="23.25">
      <c r="B57" s="317"/>
      <c r="C57" s="317"/>
      <c r="D57" s="317"/>
      <c r="E57" s="317"/>
      <c r="F57" s="317"/>
      <c r="G57" s="317"/>
      <c r="H57" s="317"/>
      <c r="I57" s="317"/>
      <c r="J57" s="240"/>
      <c r="K57" s="240"/>
      <c r="L57" s="240"/>
      <c r="M57" s="240"/>
      <c r="N57" s="240"/>
      <c r="O57" s="317"/>
      <c r="P57" s="240"/>
      <c r="Q57" s="240"/>
      <c r="R57" s="317"/>
      <c r="S57" s="239"/>
      <c r="T57" s="317" t="s">
        <v>168</v>
      </c>
      <c r="U57" s="317"/>
      <c r="V57" s="240"/>
    </row>
    <row r="58" spans="2:24" s="164" customFormat="1" ht="23.25">
      <c r="B58" s="317"/>
      <c r="C58" s="317"/>
      <c r="D58" s="317" t="s">
        <v>169</v>
      </c>
      <c r="E58" s="317"/>
      <c r="F58" s="317" t="s">
        <v>75</v>
      </c>
      <c r="G58" s="317"/>
      <c r="H58" s="317" t="s">
        <v>170</v>
      </c>
      <c r="I58" s="317"/>
      <c r="J58" s="317" t="s">
        <v>64</v>
      </c>
      <c r="K58" s="317"/>
      <c r="L58" s="317" t="s">
        <v>62</v>
      </c>
      <c r="M58" s="317"/>
      <c r="N58" s="347" t="s">
        <v>121</v>
      </c>
      <c r="O58" s="317"/>
      <c r="P58" s="317" t="s">
        <v>120</v>
      </c>
      <c r="Q58" s="317"/>
      <c r="R58" s="317" t="s">
        <v>211</v>
      </c>
      <c r="S58" s="317"/>
      <c r="T58" s="317" t="s">
        <v>171</v>
      </c>
      <c r="U58" s="317"/>
      <c r="V58" s="240" t="s">
        <v>172</v>
      </c>
      <c r="W58" s="317"/>
      <c r="X58" s="240" t="s">
        <v>3</v>
      </c>
    </row>
    <row r="59" spans="2:24" s="164" customFormat="1" ht="23.25">
      <c r="B59" s="318" t="s">
        <v>5</v>
      </c>
      <c r="C59" s="317"/>
      <c r="D59" s="318" t="s">
        <v>173</v>
      </c>
      <c r="E59" s="317"/>
      <c r="F59" s="318" t="s">
        <v>1</v>
      </c>
      <c r="G59" s="317"/>
      <c r="H59" s="318" t="s">
        <v>174</v>
      </c>
      <c r="I59" s="317"/>
      <c r="J59" s="318" t="s">
        <v>82</v>
      </c>
      <c r="K59" s="317"/>
      <c r="L59" s="318" t="s">
        <v>63</v>
      </c>
      <c r="M59" s="240"/>
      <c r="N59" s="348"/>
      <c r="O59" s="317"/>
      <c r="P59" s="318" t="s">
        <v>119</v>
      </c>
      <c r="Q59" s="240"/>
      <c r="R59" s="318" t="s">
        <v>176</v>
      </c>
      <c r="S59" s="240"/>
      <c r="T59" s="318" t="s">
        <v>176</v>
      </c>
      <c r="U59" s="317"/>
      <c r="V59" s="318" t="s">
        <v>177</v>
      </c>
      <c r="W59" s="240"/>
      <c r="X59" s="318" t="s">
        <v>2</v>
      </c>
    </row>
    <row r="60" spans="2:24" s="164" customFormat="1" ht="23.25"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</row>
    <row r="61" spans="2:25" s="164" customFormat="1" ht="24">
      <c r="B61" s="317"/>
      <c r="C61" s="24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42"/>
    </row>
    <row r="62" spans="1:25" s="164" customFormat="1" ht="24">
      <c r="A62" s="164" t="s">
        <v>246</v>
      </c>
      <c r="B62" s="317"/>
      <c r="C62" s="241"/>
      <c r="D62" s="7">
        <v>3319985400</v>
      </c>
      <c r="E62" s="7"/>
      <c r="F62" s="7">
        <v>14411841900</v>
      </c>
      <c r="G62" s="7"/>
      <c r="H62" s="7">
        <v>0</v>
      </c>
      <c r="I62" s="7"/>
      <c r="J62" s="7">
        <v>332200000</v>
      </c>
      <c r="K62" s="7"/>
      <c r="L62" s="7">
        <v>16900000000</v>
      </c>
      <c r="M62" s="7"/>
      <c r="N62" s="7">
        <v>116496332798</v>
      </c>
      <c r="O62" s="7"/>
      <c r="P62" s="7">
        <v>-11249636984</v>
      </c>
      <c r="Q62" s="7"/>
      <c r="R62" s="7">
        <v>-365525566</v>
      </c>
      <c r="S62" s="7"/>
      <c r="T62" s="7">
        <v>74139682</v>
      </c>
      <c r="U62" s="7"/>
      <c r="V62" s="139">
        <f>SUM(P62:T62)</f>
        <v>-11541022868</v>
      </c>
      <c r="W62" s="7"/>
      <c r="X62" s="140">
        <f>SUM(D62:T62)</f>
        <v>139919337230</v>
      </c>
      <c r="Y62" s="242"/>
    </row>
    <row r="63" spans="1:25" s="164" customFormat="1" ht="24">
      <c r="A63" s="164" t="s">
        <v>146</v>
      </c>
      <c r="B63" s="317"/>
      <c r="C63" s="241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139"/>
      <c r="W63" s="7"/>
      <c r="X63" s="140"/>
      <c r="Y63" s="242"/>
    </row>
    <row r="64" spans="1:24" ht="24">
      <c r="A64" s="171" t="s">
        <v>180</v>
      </c>
      <c r="C64" s="241"/>
      <c r="D64" s="141">
        <v>0</v>
      </c>
      <c r="E64" s="141"/>
      <c r="F64" s="139">
        <v>0</v>
      </c>
      <c r="G64" s="141"/>
      <c r="H64" s="4">
        <v>4987735024</v>
      </c>
      <c r="I64" s="141"/>
      <c r="J64" s="139">
        <v>0</v>
      </c>
      <c r="K64" s="141"/>
      <c r="L64" s="139">
        <v>0</v>
      </c>
      <c r="M64" s="141"/>
      <c r="N64" s="139">
        <v>0</v>
      </c>
      <c r="O64" s="141"/>
      <c r="P64" s="139">
        <v>0</v>
      </c>
      <c r="Q64" s="141"/>
      <c r="R64" s="142">
        <v>0</v>
      </c>
      <c r="S64" s="141"/>
      <c r="T64" s="139">
        <v>0</v>
      </c>
      <c r="U64" s="141"/>
      <c r="V64" s="139">
        <f>SUM(P64:T64)</f>
        <v>0</v>
      </c>
      <c r="X64" s="141">
        <f>SUM(D64:T64)</f>
        <v>4987735024</v>
      </c>
    </row>
    <row r="65" spans="1:24" ht="24">
      <c r="A65" s="171" t="s">
        <v>181</v>
      </c>
      <c r="C65" s="241"/>
      <c r="D65" s="141">
        <v>0</v>
      </c>
      <c r="E65" s="141"/>
      <c r="F65" s="139">
        <v>0</v>
      </c>
      <c r="G65" s="141"/>
      <c r="H65" s="4">
        <v>0</v>
      </c>
      <c r="I65" s="141"/>
      <c r="J65" s="139">
        <v>0</v>
      </c>
      <c r="K65" s="141"/>
      <c r="L65" s="139">
        <v>0</v>
      </c>
      <c r="M65" s="141"/>
      <c r="N65" s="142">
        <v>-73752198</v>
      </c>
      <c r="O65" s="141"/>
      <c r="P65" s="139">
        <v>0</v>
      </c>
      <c r="Q65" s="141"/>
      <c r="R65" s="142">
        <v>0</v>
      </c>
      <c r="S65" s="141"/>
      <c r="T65" s="139">
        <v>0</v>
      </c>
      <c r="U65" s="141"/>
      <c r="V65" s="139">
        <f>SUM(P65:T65)</f>
        <v>0</v>
      </c>
      <c r="X65" s="141">
        <f>SUM(D65:T65)</f>
        <v>-73752198</v>
      </c>
    </row>
    <row r="66" spans="1:24" ht="24">
      <c r="A66" s="171" t="s">
        <v>78</v>
      </c>
      <c r="C66" s="241"/>
      <c r="D66" s="4">
        <v>0</v>
      </c>
      <c r="E66" s="4"/>
      <c r="F66" s="4">
        <v>0</v>
      </c>
      <c r="G66" s="4"/>
      <c r="H66" s="4">
        <v>0</v>
      </c>
      <c r="I66" s="4"/>
      <c r="J66" s="4">
        <v>0</v>
      </c>
      <c r="K66" s="4"/>
      <c r="L66" s="4">
        <v>0</v>
      </c>
      <c r="M66" s="4"/>
      <c r="N66" s="4">
        <v>-18184268355</v>
      </c>
      <c r="O66" s="4"/>
      <c r="P66" s="4">
        <v>0</v>
      </c>
      <c r="Q66" s="4"/>
      <c r="R66" s="4">
        <v>0</v>
      </c>
      <c r="S66" s="4"/>
      <c r="T66" s="4">
        <v>0</v>
      </c>
      <c r="U66" s="4"/>
      <c r="V66" s="139">
        <f>SUM(P66:T66)</f>
        <v>0</v>
      </c>
      <c r="W66" s="4"/>
      <c r="X66" s="141">
        <f>SUM(D66:T66)</f>
        <v>-18184268355</v>
      </c>
    </row>
    <row r="67" spans="1:24" ht="24">
      <c r="A67" s="171" t="s">
        <v>184</v>
      </c>
      <c r="B67" s="171"/>
      <c r="C67" s="241"/>
      <c r="D67" s="4">
        <v>0</v>
      </c>
      <c r="E67" s="4"/>
      <c r="F67" s="4">
        <v>0</v>
      </c>
      <c r="G67" s="4"/>
      <c r="H67" s="4">
        <v>0</v>
      </c>
      <c r="I67" s="4"/>
      <c r="J67" s="4">
        <v>0</v>
      </c>
      <c r="K67" s="4"/>
      <c r="L67" s="4">
        <v>0</v>
      </c>
      <c r="M67" s="4"/>
      <c r="N67" s="4">
        <v>34895741097</v>
      </c>
      <c r="O67" s="4"/>
      <c r="P67" s="4">
        <v>-4236263308</v>
      </c>
      <c r="Q67" s="4"/>
      <c r="R67" s="4">
        <v>-851162273</v>
      </c>
      <c r="S67" s="4"/>
      <c r="T67" s="4">
        <v>168668463</v>
      </c>
      <c r="U67" s="4"/>
      <c r="V67" s="300">
        <f>SUM(P67:T67)</f>
        <v>-4918757118</v>
      </c>
      <c r="W67" s="4"/>
      <c r="X67" s="300">
        <f>SUM(D67:T67)</f>
        <v>29976983979</v>
      </c>
    </row>
    <row r="68" spans="1:25" s="164" customFormat="1" ht="24.75" thickBot="1">
      <c r="A68" s="164" t="s">
        <v>232</v>
      </c>
      <c r="B68" s="317"/>
      <c r="C68" s="241"/>
      <c r="D68" s="49">
        <f aca="true" t="shared" si="4" ref="D68:R68">SUM(D62:D67)</f>
        <v>3319985400</v>
      </c>
      <c r="E68" s="4"/>
      <c r="F68" s="49">
        <f t="shared" si="4"/>
        <v>14411841900</v>
      </c>
      <c r="G68" s="4"/>
      <c r="H68" s="49">
        <f t="shared" si="4"/>
        <v>4987735024</v>
      </c>
      <c r="I68" s="4"/>
      <c r="J68" s="49">
        <f t="shared" si="4"/>
        <v>332200000</v>
      </c>
      <c r="K68" s="4"/>
      <c r="L68" s="49">
        <f t="shared" si="4"/>
        <v>16900000000</v>
      </c>
      <c r="M68" s="4"/>
      <c r="N68" s="49">
        <f t="shared" si="4"/>
        <v>133134053342</v>
      </c>
      <c r="O68" s="4"/>
      <c r="P68" s="49">
        <f t="shared" si="4"/>
        <v>-15485900292</v>
      </c>
      <c r="Q68" s="4"/>
      <c r="R68" s="49">
        <f t="shared" si="4"/>
        <v>-1216687839</v>
      </c>
      <c r="S68" s="7"/>
      <c r="T68" s="49">
        <f>SUM(T62:T67)</f>
        <v>242808145</v>
      </c>
      <c r="U68" s="7"/>
      <c r="V68" s="244">
        <f>SUM(P68:T68)</f>
        <v>-16459779986</v>
      </c>
      <c r="W68" s="7"/>
      <c r="X68" s="143">
        <f>SUM(D68:T68)</f>
        <v>156626035680</v>
      </c>
      <c r="Y68" s="242"/>
    </row>
    <row r="69" spans="2:21" s="164" customFormat="1" ht="24">
      <c r="B69" s="317"/>
      <c r="C69" s="241"/>
      <c r="D69" s="7"/>
      <c r="E69" s="6"/>
      <c r="F69" s="7"/>
      <c r="G69" s="6"/>
      <c r="H69" s="7"/>
      <c r="I69" s="6"/>
      <c r="J69" s="7"/>
      <c r="K69" s="6"/>
      <c r="L69" s="7"/>
      <c r="M69" s="6"/>
      <c r="N69" s="7"/>
      <c r="O69" s="6"/>
      <c r="P69" s="7"/>
      <c r="Q69" s="7"/>
      <c r="R69" s="7"/>
      <c r="S69" s="7"/>
      <c r="T69" s="7"/>
      <c r="U69" s="171"/>
    </row>
    <row r="70" spans="2:24" s="164" customFormat="1" ht="23.25">
      <c r="B70" s="317"/>
      <c r="R70" s="349"/>
      <c r="S70" s="349"/>
      <c r="T70" s="349"/>
      <c r="X70" s="319" t="s">
        <v>67</v>
      </c>
    </row>
    <row r="71" spans="2:24" s="164" customFormat="1" ht="23.25">
      <c r="B71" s="317"/>
      <c r="P71" s="319"/>
      <c r="Q71" s="319"/>
      <c r="R71" s="319"/>
      <c r="X71" s="319"/>
    </row>
    <row r="72" spans="2:22" s="164" customFormat="1" ht="23.25">
      <c r="B72" s="317"/>
      <c r="P72" s="348" t="s">
        <v>118</v>
      </c>
      <c r="Q72" s="348"/>
      <c r="R72" s="348"/>
      <c r="S72" s="348"/>
      <c r="T72" s="348"/>
      <c r="U72" s="348"/>
      <c r="V72" s="348"/>
    </row>
    <row r="73" spans="2:26" s="164" customFormat="1" ht="23.25">
      <c r="B73" s="317"/>
      <c r="C73" s="317"/>
      <c r="D73" s="317"/>
      <c r="E73" s="317"/>
      <c r="F73" s="317"/>
      <c r="G73" s="317"/>
      <c r="H73" s="317"/>
      <c r="I73" s="317"/>
      <c r="J73" s="348" t="s">
        <v>76</v>
      </c>
      <c r="K73" s="348"/>
      <c r="L73" s="348"/>
      <c r="M73" s="348"/>
      <c r="N73" s="348"/>
      <c r="O73" s="317"/>
      <c r="P73" s="350" t="s">
        <v>167</v>
      </c>
      <c r="Q73" s="350"/>
      <c r="R73" s="350"/>
      <c r="S73" s="350"/>
      <c r="T73" s="350"/>
      <c r="U73" s="239"/>
      <c r="V73" s="239"/>
      <c r="W73" s="239"/>
      <c r="X73" s="317"/>
      <c r="Z73" s="317"/>
    </row>
    <row r="74" spans="2:24" s="164" customFormat="1" ht="23.25">
      <c r="B74" s="317"/>
      <c r="C74" s="317"/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243"/>
      <c r="O74" s="317"/>
      <c r="P74" s="317"/>
      <c r="Q74" s="317"/>
      <c r="R74" s="317"/>
      <c r="S74" s="317"/>
      <c r="T74" s="317" t="s">
        <v>168</v>
      </c>
      <c r="U74" s="317"/>
      <c r="V74" s="240"/>
      <c r="W74" s="317"/>
      <c r="X74" s="240"/>
    </row>
    <row r="75" spans="2:24" s="164" customFormat="1" ht="23.25">
      <c r="B75" s="317"/>
      <c r="C75" s="317"/>
      <c r="D75" s="317" t="s">
        <v>169</v>
      </c>
      <c r="E75" s="317"/>
      <c r="F75" s="317" t="s">
        <v>75</v>
      </c>
      <c r="G75" s="317"/>
      <c r="H75" s="317" t="s">
        <v>170</v>
      </c>
      <c r="I75" s="317"/>
      <c r="J75" s="317" t="s">
        <v>64</v>
      </c>
      <c r="K75" s="317"/>
      <c r="L75" s="317" t="s">
        <v>62</v>
      </c>
      <c r="M75" s="317"/>
      <c r="N75" s="347" t="s">
        <v>121</v>
      </c>
      <c r="O75" s="317"/>
      <c r="P75" s="317" t="s">
        <v>120</v>
      </c>
      <c r="Q75" s="317"/>
      <c r="R75" s="317" t="s">
        <v>211</v>
      </c>
      <c r="S75" s="317"/>
      <c r="T75" s="317" t="s">
        <v>171</v>
      </c>
      <c r="U75" s="317"/>
      <c r="V75" s="240" t="s">
        <v>172</v>
      </c>
      <c r="W75" s="317"/>
      <c r="X75" s="240" t="s">
        <v>3</v>
      </c>
    </row>
    <row r="76" spans="2:24" s="164" customFormat="1" ht="23.25">
      <c r="B76" s="318" t="s">
        <v>5</v>
      </c>
      <c r="C76" s="317"/>
      <c r="D76" s="318" t="s">
        <v>173</v>
      </c>
      <c r="E76" s="317"/>
      <c r="F76" s="318" t="s">
        <v>1</v>
      </c>
      <c r="G76" s="240"/>
      <c r="H76" s="318" t="s">
        <v>174</v>
      </c>
      <c r="I76" s="317"/>
      <c r="J76" s="318" t="s">
        <v>82</v>
      </c>
      <c r="K76" s="317"/>
      <c r="L76" s="318" t="s">
        <v>63</v>
      </c>
      <c r="M76" s="240"/>
      <c r="N76" s="348"/>
      <c r="O76" s="317"/>
      <c r="P76" s="318" t="s">
        <v>119</v>
      </c>
      <c r="Q76" s="240"/>
      <c r="R76" s="318" t="s">
        <v>176</v>
      </c>
      <c r="S76" s="240"/>
      <c r="T76" s="318" t="s">
        <v>176</v>
      </c>
      <c r="U76" s="240"/>
      <c r="V76" s="318" t="s">
        <v>177</v>
      </c>
      <c r="W76" s="240"/>
      <c r="X76" s="318" t="s">
        <v>2</v>
      </c>
    </row>
    <row r="77" spans="2:25" ht="24">
      <c r="B77" s="317"/>
      <c r="C77" s="2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64"/>
    </row>
    <row r="78" spans="2:25" s="164" customFormat="1" ht="24">
      <c r="B78" s="317"/>
      <c r="C78" s="241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242"/>
    </row>
    <row r="79" spans="1:25" s="164" customFormat="1" ht="24">
      <c r="A79" s="164" t="s">
        <v>182</v>
      </c>
      <c r="B79" s="317"/>
      <c r="C79" s="241"/>
      <c r="D79" s="139">
        <v>3969985400</v>
      </c>
      <c r="E79" s="139"/>
      <c r="F79" s="139">
        <v>105412493326</v>
      </c>
      <c r="G79" s="139"/>
      <c r="H79" s="139">
        <v>4981947515</v>
      </c>
      <c r="I79" s="139"/>
      <c r="J79" s="139">
        <v>396998540</v>
      </c>
      <c r="K79" s="139"/>
      <c r="L79" s="139">
        <v>16900000000</v>
      </c>
      <c r="M79" s="139"/>
      <c r="N79" s="139">
        <v>144598691270</v>
      </c>
      <c r="O79" s="139"/>
      <c r="P79" s="139">
        <v>-16549861146</v>
      </c>
      <c r="Q79" s="139"/>
      <c r="R79" s="139">
        <v>-1094287826</v>
      </c>
      <c r="S79" s="139"/>
      <c r="T79" s="139">
        <v>218327468</v>
      </c>
      <c r="U79" s="139"/>
      <c r="V79" s="139">
        <f>SUM(P79:T79)</f>
        <v>-17425821504</v>
      </c>
      <c r="W79" s="139"/>
      <c r="X79" s="140">
        <f>SUM(D79:T79)</f>
        <v>258834294547</v>
      </c>
      <c r="Y79" s="242"/>
    </row>
    <row r="80" spans="1:25" s="164" customFormat="1" ht="24">
      <c r="A80" s="164" t="s">
        <v>146</v>
      </c>
      <c r="B80" s="317"/>
      <c r="C80" s="241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40"/>
      <c r="Y80" s="242"/>
    </row>
    <row r="81" spans="1:24" ht="24" hidden="1">
      <c r="A81" s="171" t="s">
        <v>74</v>
      </c>
      <c r="B81" s="317"/>
      <c r="C81" s="241"/>
      <c r="D81" s="141">
        <v>0</v>
      </c>
      <c r="E81" s="141"/>
      <c r="F81" s="141">
        <v>0</v>
      </c>
      <c r="G81" s="141"/>
      <c r="H81" s="141">
        <v>0</v>
      </c>
      <c r="I81" s="141"/>
      <c r="J81" s="141">
        <v>0</v>
      </c>
      <c r="K81" s="141"/>
      <c r="L81" s="141">
        <v>0</v>
      </c>
      <c r="M81" s="141"/>
      <c r="N81" s="141">
        <v>0</v>
      </c>
      <c r="O81" s="141"/>
      <c r="P81" s="141">
        <v>0</v>
      </c>
      <c r="Q81" s="141"/>
      <c r="R81" s="141">
        <v>0</v>
      </c>
      <c r="S81" s="141"/>
      <c r="T81" s="141">
        <v>0</v>
      </c>
      <c r="U81" s="141"/>
      <c r="V81" s="139">
        <f aca="true" t="shared" si="5" ref="V81:V86">SUM(P81:T81)</f>
        <v>0</v>
      </c>
      <c r="W81" s="141"/>
      <c r="X81" s="140">
        <f aca="true" t="shared" si="6" ref="X81:X87">SUM(D81:T81)</f>
        <v>0</v>
      </c>
    </row>
    <row r="82" spans="1:24" ht="24">
      <c r="A82" s="171" t="s">
        <v>178</v>
      </c>
      <c r="B82" s="317"/>
      <c r="C82" s="241"/>
      <c r="D82" s="141">
        <v>0</v>
      </c>
      <c r="E82" s="141"/>
      <c r="F82" s="141">
        <v>5126438</v>
      </c>
      <c r="G82" s="141"/>
      <c r="H82" s="141">
        <v>0</v>
      </c>
      <c r="I82" s="141"/>
      <c r="J82" s="141">
        <v>0</v>
      </c>
      <c r="K82" s="141"/>
      <c r="L82" s="141">
        <v>0</v>
      </c>
      <c r="M82" s="141"/>
      <c r="N82" s="141">
        <v>0</v>
      </c>
      <c r="O82" s="141"/>
      <c r="P82" s="141">
        <v>0</v>
      </c>
      <c r="Q82" s="141"/>
      <c r="R82" s="141">
        <v>0</v>
      </c>
      <c r="S82" s="141"/>
      <c r="T82" s="141">
        <v>0</v>
      </c>
      <c r="U82" s="141"/>
      <c r="V82" s="142">
        <f t="shared" si="5"/>
        <v>0</v>
      </c>
      <c r="W82" s="141"/>
      <c r="X82" s="141">
        <f t="shared" si="6"/>
        <v>5126438</v>
      </c>
    </row>
    <row r="83" spans="1:24" ht="24" hidden="1">
      <c r="A83" s="171" t="s">
        <v>179</v>
      </c>
      <c r="B83" s="194">
        <v>32</v>
      </c>
      <c r="C83" s="241"/>
      <c r="D83" s="141">
        <v>0</v>
      </c>
      <c r="E83" s="141"/>
      <c r="F83" s="141">
        <v>0</v>
      </c>
      <c r="G83" s="141"/>
      <c r="H83" s="141">
        <v>0</v>
      </c>
      <c r="I83" s="141"/>
      <c r="J83" s="141">
        <v>0</v>
      </c>
      <c r="K83" s="141"/>
      <c r="L83" s="141">
        <v>0</v>
      </c>
      <c r="M83" s="141"/>
      <c r="N83" s="141">
        <v>0</v>
      </c>
      <c r="O83" s="141"/>
      <c r="P83" s="141">
        <v>0</v>
      </c>
      <c r="Q83" s="141"/>
      <c r="R83" s="141">
        <v>0</v>
      </c>
      <c r="S83" s="141"/>
      <c r="T83" s="141">
        <v>0</v>
      </c>
      <c r="U83" s="141"/>
      <c r="V83" s="142">
        <f t="shared" si="5"/>
        <v>0</v>
      </c>
      <c r="W83" s="141"/>
      <c r="X83" s="141">
        <f t="shared" si="6"/>
        <v>0</v>
      </c>
    </row>
    <row r="84" spans="1:24" ht="24" hidden="1">
      <c r="A84" s="171" t="s">
        <v>180</v>
      </c>
      <c r="C84" s="241"/>
      <c r="D84" s="141">
        <v>0</v>
      </c>
      <c r="E84" s="141"/>
      <c r="F84" s="141">
        <v>0</v>
      </c>
      <c r="G84" s="141"/>
      <c r="H84" s="141">
        <v>0</v>
      </c>
      <c r="I84" s="141"/>
      <c r="J84" s="141">
        <v>0</v>
      </c>
      <c r="K84" s="141"/>
      <c r="L84" s="141">
        <v>0</v>
      </c>
      <c r="M84" s="141"/>
      <c r="N84" s="141">
        <v>0</v>
      </c>
      <c r="O84" s="141"/>
      <c r="P84" s="141">
        <v>0</v>
      </c>
      <c r="Q84" s="141"/>
      <c r="R84" s="141">
        <v>0</v>
      </c>
      <c r="S84" s="141"/>
      <c r="T84" s="141">
        <v>0</v>
      </c>
      <c r="U84" s="141"/>
      <c r="V84" s="142">
        <f t="shared" si="5"/>
        <v>0</v>
      </c>
      <c r="W84" s="141"/>
      <c r="X84" s="141">
        <f t="shared" si="6"/>
        <v>0</v>
      </c>
    </row>
    <row r="85" spans="1:24" ht="24">
      <c r="A85" s="171" t="s">
        <v>181</v>
      </c>
      <c r="B85" s="317"/>
      <c r="C85" s="241"/>
      <c r="D85" s="141">
        <v>0</v>
      </c>
      <c r="E85" s="141"/>
      <c r="F85" s="141">
        <v>0</v>
      </c>
      <c r="G85" s="141"/>
      <c r="H85" s="141">
        <v>0</v>
      </c>
      <c r="I85" s="141"/>
      <c r="J85" s="141">
        <v>0</v>
      </c>
      <c r="K85" s="141"/>
      <c r="L85" s="141">
        <v>0</v>
      </c>
      <c r="M85" s="141"/>
      <c r="N85" s="141">
        <f>ROUND(-218291996,0)</f>
        <v>-218291996</v>
      </c>
      <c r="O85" s="141"/>
      <c r="P85" s="141">
        <v>0</v>
      </c>
      <c r="Q85" s="141"/>
      <c r="R85" s="141">
        <v>0</v>
      </c>
      <c r="S85" s="141"/>
      <c r="T85" s="141">
        <v>0</v>
      </c>
      <c r="U85" s="141"/>
      <c r="V85" s="142">
        <f t="shared" si="5"/>
        <v>0</v>
      </c>
      <c r="W85" s="141"/>
      <c r="X85" s="141">
        <f t="shared" si="6"/>
        <v>-218291996</v>
      </c>
    </row>
    <row r="86" spans="1:24" ht="24">
      <c r="A86" s="171" t="s">
        <v>78</v>
      </c>
      <c r="B86" s="194">
        <v>23</v>
      </c>
      <c r="C86" s="241"/>
      <c r="D86" s="141">
        <v>0</v>
      </c>
      <c r="E86" s="141"/>
      <c r="F86" s="141">
        <v>0</v>
      </c>
      <c r="G86" s="141"/>
      <c r="H86" s="141">
        <v>0</v>
      </c>
      <c r="I86" s="141"/>
      <c r="J86" s="141">
        <v>0</v>
      </c>
      <c r="K86" s="141"/>
      <c r="L86" s="141">
        <v>0</v>
      </c>
      <c r="M86" s="141"/>
      <c r="N86" s="141">
        <f>ROUND(-23848069080.017,0)</f>
        <v>-23848069080</v>
      </c>
      <c r="O86" s="141"/>
      <c r="P86" s="141">
        <v>0</v>
      </c>
      <c r="Q86" s="141"/>
      <c r="R86" s="141">
        <v>0</v>
      </c>
      <c r="S86" s="141"/>
      <c r="T86" s="141">
        <v>0</v>
      </c>
      <c r="U86" s="141"/>
      <c r="V86" s="142">
        <f t="shared" si="5"/>
        <v>0</v>
      </c>
      <c r="W86" s="141"/>
      <c r="X86" s="141">
        <f t="shared" si="6"/>
        <v>-23848069080</v>
      </c>
    </row>
    <row r="87" spans="1:24" ht="24">
      <c r="A87" s="171" t="s">
        <v>184</v>
      </c>
      <c r="C87" s="241"/>
      <c r="D87" s="141">
        <v>0</v>
      </c>
      <c r="E87" s="141"/>
      <c r="F87" s="141">
        <v>0</v>
      </c>
      <c r="G87" s="141"/>
      <c r="H87" s="141">
        <v>0</v>
      </c>
      <c r="I87" s="141"/>
      <c r="J87" s="141">
        <v>0</v>
      </c>
      <c r="K87" s="141"/>
      <c r="L87" s="141">
        <v>0</v>
      </c>
      <c r="M87" s="141"/>
      <c r="N87" s="141">
        <f>'FS-The Company'!$G$246</f>
        <v>32755200970</v>
      </c>
      <c r="O87" s="141"/>
      <c r="P87" s="141">
        <f>ROUND(6801488669.20651,0)</f>
        <v>6801488669</v>
      </c>
      <c r="Q87" s="141"/>
      <c r="R87" s="141">
        <f>ROUND(404039555.203664,0)</f>
        <v>404039555</v>
      </c>
      <c r="S87" s="141"/>
      <c r="T87" s="141">
        <f>ROUND(-81893723.1958486,0)</f>
        <v>-81893723</v>
      </c>
      <c r="U87" s="141"/>
      <c r="V87" s="142">
        <f>SUM(P87:T87)</f>
        <v>7123634501</v>
      </c>
      <c r="W87" s="141"/>
      <c r="X87" s="300">
        <f t="shared" si="6"/>
        <v>39878835471</v>
      </c>
    </row>
    <row r="88" spans="1:25" s="164" customFormat="1" ht="24.75" thickBot="1">
      <c r="A88" s="164" t="s">
        <v>233</v>
      </c>
      <c r="B88" s="317"/>
      <c r="C88" s="241"/>
      <c r="D88" s="143">
        <f>SUM(D79:D87)</f>
        <v>3969985400</v>
      </c>
      <c r="E88" s="140"/>
      <c r="F88" s="143">
        <f aca="true" t="shared" si="7" ref="F88:P88">SUM(F79:F87)</f>
        <v>105417619764</v>
      </c>
      <c r="G88" s="141"/>
      <c r="H88" s="143">
        <f t="shared" si="7"/>
        <v>4981947515</v>
      </c>
      <c r="I88" s="141"/>
      <c r="J88" s="143">
        <f t="shared" si="7"/>
        <v>396998540</v>
      </c>
      <c r="K88" s="141"/>
      <c r="L88" s="143">
        <f t="shared" si="7"/>
        <v>16900000000</v>
      </c>
      <c r="M88" s="141"/>
      <c r="N88" s="143">
        <f t="shared" si="7"/>
        <v>153287531164</v>
      </c>
      <c r="O88" s="141"/>
      <c r="P88" s="143">
        <f t="shared" si="7"/>
        <v>-9748372477</v>
      </c>
      <c r="Q88" s="141"/>
      <c r="R88" s="143">
        <f>SUM(R79:R87)</f>
        <v>-690248271</v>
      </c>
      <c r="S88" s="141"/>
      <c r="T88" s="143">
        <f>SUM(T79:T87)</f>
        <v>136433745</v>
      </c>
      <c r="U88" s="141"/>
      <c r="V88" s="143">
        <f>SUM(V79:V87)</f>
        <v>-10302187003</v>
      </c>
      <c r="W88" s="139"/>
      <c r="X88" s="244">
        <f>SUM(D88:T88)</f>
        <v>274651895380</v>
      </c>
      <c r="Y88" s="242"/>
    </row>
    <row r="89" spans="2:22" ht="24">
      <c r="B89" s="317"/>
      <c r="C89" s="241"/>
      <c r="E89" s="241"/>
      <c r="G89" s="241"/>
      <c r="I89" s="241"/>
      <c r="M89" s="241"/>
      <c r="N89" s="245"/>
      <c r="P89" s="245"/>
      <c r="R89" s="246"/>
      <c r="T89" s="245"/>
      <c r="V89" s="245"/>
    </row>
    <row r="90" spans="1:22" ht="24">
      <c r="A90" s="171" t="str">
        <f>A45</f>
        <v>หมายเหตุประกอบข้อมูลทางการเงินระหว่างกาลเป็นส่วนหนึ่งของข้อมูลทางการเงินนี้       </v>
      </c>
      <c r="L90" s="110"/>
      <c r="N90" s="247"/>
      <c r="P90" s="248"/>
      <c r="R90" s="188"/>
      <c r="T90" s="248"/>
      <c r="V90" s="247"/>
    </row>
    <row r="92" spans="6:20" ht="24">
      <c r="F92" s="188"/>
      <c r="H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</row>
    <row r="94" spans="6:16" ht="24">
      <c r="F94" s="188"/>
      <c r="H94" s="188"/>
      <c r="N94" s="188"/>
      <c r="P94" s="188"/>
    </row>
    <row r="95" spans="6:8" ht="24">
      <c r="F95" s="188"/>
      <c r="H95" s="188"/>
    </row>
    <row r="96" spans="6:8" ht="24">
      <c r="F96" s="188"/>
      <c r="H96" s="188"/>
    </row>
    <row r="100" spans="6:8" ht="24">
      <c r="F100" s="188"/>
      <c r="H100" s="188"/>
    </row>
    <row r="101" spans="6:8" ht="24">
      <c r="F101" s="188"/>
      <c r="H101" s="188"/>
    </row>
    <row r="102" spans="6:8" ht="24">
      <c r="F102" s="188"/>
      <c r="H102" s="188"/>
    </row>
    <row r="145" ht="24">
      <c r="I145" s="171">
        <v>0</v>
      </c>
    </row>
    <row r="170" ht="24">
      <c r="B170" s="194">
        <v>12.1</v>
      </c>
    </row>
  </sheetData>
  <sheetProtection/>
  <mergeCells count="30">
    <mergeCell ref="P9:R9"/>
    <mergeCell ref="A1:Z1"/>
    <mergeCell ref="A4:Z4"/>
    <mergeCell ref="A5:Z5"/>
    <mergeCell ref="A6:Z6"/>
    <mergeCell ref="A7:Z7"/>
    <mergeCell ref="A50:Z50"/>
    <mergeCell ref="P10:T10"/>
    <mergeCell ref="J11:N11"/>
    <mergeCell ref="P11:R11"/>
    <mergeCell ref="N13:N14"/>
    <mergeCell ref="P25:R25"/>
    <mergeCell ref="P26:T26"/>
    <mergeCell ref="J27:N27"/>
    <mergeCell ref="P27:R27"/>
    <mergeCell ref="N29:N30"/>
    <mergeCell ref="A46:Z46"/>
    <mergeCell ref="A49:Z49"/>
    <mergeCell ref="N75:N76"/>
    <mergeCell ref="A51:Z51"/>
    <mergeCell ref="A52:Z52"/>
    <mergeCell ref="R54:T54"/>
    <mergeCell ref="P55:V55"/>
    <mergeCell ref="J56:N56"/>
    <mergeCell ref="P56:T56"/>
    <mergeCell ref="N58:N59"/>
    <mergeCell ref="R70:T70"/>
    <mergeCell ref="P72:V72"/>
    <mergeCell ref="J73:N73"/>
    <mergeCell ref="P73:T73"/>
  </mergeCells>
  <printOptions/>
  <pageMargins left="0.2755905511811024" right="0.15748031496062992" top="0.7874015748031497" bottom="0.2362204724409449" header="0.1968503937007874" footer="0.15748031496062992"/>
  <pageSetup fitToHeight="2" fitToWidth="4" horizontalDpi="600" verticalDpi="600" orientation="landscape" paperSize="9" scale="51" r:id="rId1"/>
  <rowBreaks count="1" manualBreakCount="1">
    <brk id="45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N152"/>
  <sheetViews>
    <sheetView zoomScale="90" zoomScaleNormal="90" zoomScaleSheetLayoutView="90" zoomScalePageLayoutView="90" workbookViewId="0" topLeftCell="A56">
      <selection activeCell="L254" sqref="L254"/>
    </sheetView>
  </sheetViews>
  <sheetFormatPr defaultColWidth="9.140625" defaultRowHeight="21.75"/>
  <cols>
    <col min="1" max="1" width="71.421875" style="9" customWidth="1"/>
    <col min="2" max="2" width="1.7109375" style="9" customWidth="1"/>
    <col min="3" max="3" width="20.7109375" style="10" customWidth="1"/>
    <col min="4" max="4" width="1.7109375" style="9" customWidth="1"/>
    <col min="5" max="5" width="20.7109375" style="9" customWidth="1"/>
    <col min="6" max="6" width="1.7109375" style="9" customWidth="1"/>
    <col min="7" max="7" width="20.7109375" style="9" customWidth="1"/>
    <col min="8" max="8" width="1.7109375" style="9" customWidth="1"/>
    <col min="9" max="9" width="20.7109375" style="9" customWidth="1"/>
    <col min="10" max="10" width="1.7109375" style="9" customWidth="1"/>
    <col min="11" max="11" width="10.7109375" style="127" bestFit="1" customWidth="1"/>
    <col min="12" max="12" width="23.00390625" style="130" bestFit="1" customWidth="1"/>
    <col min="13" max="13" width="17.140625" style="9" bestFit="1" customWidth="1"/>
    <col min="14" max="14" width="13.421875" style="9" bestFit="1" customWidth="1"/>
    <col min="15" max="16384" width="9.140625" style="9" customWidth="1"/>
  </cols>
  <sheetData>
    <row r="1" spans="1:12" s="8" customFormat="1" ht="25.5" customHeight="1">
      <c r="A1" s="353">
        <v>19</v>
      </c>
      <c r="B1" s="353"/>
      <c r="C1" s="353"/>
      <c r="D1" s="353"/>
      <c r="E1" s="353"/>
      <c r="F1" s="353"/>
      <c r="G1" s="353"/>
      <c r="H1" s="353"/>
      <c r="I1" s="353"/>
      <c r="J1" s="48"/>
      <c r="K1" s="123"/>
      <c r="L1" s="128"/>
    </row>
    <row r="2" spans="1:12" s="8" customFormat="1" ht="25.5" customHeight="1">
      <c r="A2" s="321"/>
      <c r="B2" s="321"/>
      <c r="C2" s="321"/>
      <c r="D2" s="321"/>
      <c r="E2" s="321"/>
      <c r="F2" s="321"/>
      <c r="G2" s="321"/>
      <c r="H2" s="321"/>
      <c r="I2" s="59" t="s">
        <v>113</v>
      </c>
      <c r="J2" s="48"/>
      <c r="K2" s="123"/>
      <c r="L2" s="128"/>
    </row>
    <row r="3" spans="1:12" s="8" customFormat="1" ht="25.5" customHeight="1">
      <c r="A3" s="321"/>
      <c r="B3" s="321"/>
      <c r="C3" s="321"/>
      <c r="D3" s="321"/>
      <c r="E3" s="321"/>
      <c r="F3" s="321"/>
      <c r="G3" s="321"/>
      <c r="H3" s="321"/>
      <c r="I3" s="59" t="s">
        <v>114</v>
      </c>
      <c r="J3" s="48"/>
      <c r="K3" s="123"/>
      <c r="L3" s="128"/>
    </row>
    <row r="4" spans="1:12" s="8" customFormat="1" ht="25.5" customHeight="1">
      <c r="A4" s="355" t="s">
        <v>4</v>
      </c>
      <c r="B4" s="355"/>
      <c r="C4" s="355"/>
      <c r="D4" s="355"/>
      <c r="E4" s="355"/>
      <c r="F4" s="355"/>
      <c r="G4" s="355"/>
      <c r="H4" s="355"/>
      <c r="I4" s="355"/>
      <c r="J4" s="11"/>
      <c r="K4" s="123"/>
      <c r="L4" s="128"/>
    </row>
    <row r="5" spans="1:12" s="8" customFormat="1" ht="25.5" customHeight="1">
      <c r="A5" s="355" t="s">
        <v>38</v>
      </c>
      <c r="B5" s="355"/>
      <c r="C5" s="355"/>
      <c r="D5" s="355"/>
      <c r="E5" s="355"/>
      <c r="F5" s="355"/>
      <c r="G5" s="355"/>
      <c r="H5" s="355"/>
      <c r="I5" s="355"/>
      <c r="J5" s="11"/>
      <c r="K5" s="123"/>
      <c r="L5" s="128"/>
    </row>
    <row r="6" spans="1:12" s="8" customFormat="1" ht="25.5" customHeight="1">
      <c r="A6" s="355" t="str">
        <f>+'FS-Conso'!A190</f>
        <v>สำหรับงวดเก้าเดือนสิ้นสุดวันที่ 30 กันยายน 2556</v>
      </c>
      <c r="B6" s="355"/>
      <c r="C6" s="355"/>
      <c r="D6" s="355"/>
      <c r="E6" s="355"/>
      <c r="F6" s="355"/>
      <c r="G6" s="355"/>
      <c r="H6" s="355"/>
      <c r="I6" s="355"/>
      <c r="J6" s="11"/>
      <c r="K6" s="123"/>
      <c r="L6" s="128"/>
    </row>
    <row r="7" spans="1:12" s="8" customFormat="1" ht="25.5" customHeight="1">
      <c r="A7" s="344" t="s">
        <v>147</v>
      </c>
      <c r="B7" s="344"/>
      <c r="C7" s="344"/>
      <c r="D7" s="344"/>
      <c r="E7" s="344"/>
      <c r="F7" s="344"/>
      <c r="G7" s="344"/>
      <c r="H7" s="344"/>
      <c r="I7" s="344"/>
      <c r="J7" s="11"/>
      <c r="K7" s="123"/>
      <c r="L7" s="128"/>
    </row>
    <row r="8" spans="1:12" s="3" customFormat="1" ht="24.75" customHeight="1">
      <c r="A8" s="67"/>
      <c r="B8" s="58"/>
      <c r="C8" s="354"/>
      <c r="D8" s="354"/>
      <c r="E8" s="354"/>
      <c r="F8" s="67"/>
      <c r="G8" s="354"/>
      <c r="H8" s="354"/>
      <c r="I8" s="354"/>
      <c r="K8" s="124"/>
      <c r="L8" s="128"/>
    </row>
    <row r="9" spans="11:12" s="8" customFormat="1" ht="19.5" customHeight="1">
      <c r="K9" s="123"/>
      <c r="L9" s="128"/>
    </row>
    <row r="10" spans="3:12" s="12" customFormat="1" ht="23.25">
      <c r="C10" s="330" t="s">
        <v>128</v>
      </c>
      <c r="D10" s="330"/>
      <c r="E10" s="330"/>
      <c r="F10" s="54"/>
      <c r="G10" s="330" t="s">
        <v>67</v>
      </c>
      <c r="H10" s="330"/>
      <c r="I10" s="330"/>
      <c r="K10" s="125"/>
      <c r="L10" s="129"/>
    </row>
    <row r="11" spans="3:12" s="12" customFormat="1" ht="10.5" customHeight="1">
      <c r="C11" s="307"/>
      <c r="D11" s="307"/>
      <c r="E11" s="307"/>
      <c r="F11" s="54"/>
      <c r="G11" s="307"/>
      <c r="H11" s="307"/>
      <c r="I11" s="307"/>
      <c r="K11" s="125"/>
      <c r="L11" s="129"/>
    </row>
    <row r="12" spans="3:12" s="12" customFormat="1" ht="23.25">
      <c r="C12" s="13">
        <v>2556</v>
      </c>
      <c r="E12" s="13">
        <v>2555</v>
      </c>
      <c r="G12" s="13">
        <v>2556</v>
      </c>
      <c r="I12" s="13">
        <v>2555</v>
      </c>
      <c r="K12" s="125"/>
      <c r="L12" s="129"/>
    </row>
    <row r="13" spans="3:12" s="5" customFormat="1" ht="21" customHeight="1">
      <c r="C13" s="315"/>
      <c r="D13" s="315"/>
      <c r="E13" s="315"/>
      <c r="F13" s="315"/>
      <c r="G13" s="315"/>
      <c r="H13" s="315"/>
      <c r="I13" s="315"/>
      <c r="K13" s="126"/>
      <c r="L13" s="129"/>
    </row>
    <row r="14" spans="3:12" s="12" customFormat="1" ht="23.25">
      <c r="C14" s="13"/>
      <c r="E14" s="13"/>
      <c r="G14" s="13"/>
      <c r="I14" s="14"/>
      <c r="K14" s="125"/>
      <c r="L14" s="129"/>
    </row>
    <row r="15" spans="1:5" ht="27.75" customHeight="1">
      <c r="A15" s="8" t="s">
        <v>39</v>
      </c>
      <c r="B15" s="8"/>
      <c r="C15" s="15"/>
      <c r="D15" s="8"/>
      <c r="E15" s="15"/>
    </row>
    <row r="16" spans="1:10" ht="27.75" customHeight="1">
      <c r="A16" s="9" t="s">
        <v>99</v>
      </c>
      <c r="C16" s="16">
        <f>'FS-Conso'!C222</f>
        <v>2682189831</v>
      </c>
      <c r="D16" s="16"/>
      <c r="E16" s="16">
        <f>'FS-Conso'!E222</f>
        <v>2372737110</v>
      </c>
      <c r="F16" s="16"/>
      <c r="G16" s="16">
        <f>'FS-Conso'!G222</f>
        <v>81415097497</v>
      </c>
      <c r="H16" s="16"/>
      <c r="I16" s="16">
        <v>74057485981</v>
      </c>
      <c r="J16" s="16"/>
    </row>
    <row r="17" spans="1:10" ht="27.75" customHeight="1">
      <c r="A17" s="9" t="s">
        <v>100</v>
      </c>
      <c r="C17" s="16"/>
      <c r="D17" s="17"/>
      <c r="E17" s="16"/>
      <c r="F17" s="16"/>
      <c r="G17" s="16"/>
      <c r="H17" s="16"/>
      <c r="I17" s="16"/>
      <c r="J17" s="16"/>
    </row>
    <row r="18" spans="1:10" ht="27.75" customHeight="1">
      <c r="A18" s="9" t="s">
        <v>81</v>
      </c>
      <c r="C18" s="16"/>
      <c r="D18" s="17"/>
      <c r="E18" s="16"/>
      <c r="F18" s="18"/>
      <c r="G18" s="16"/>
      <c r="H18" s="18"/>
      <c r="I18" s="16"/>
      <c r="J18" s="18"/>
    </row>
    <row r="19" spans="1:10" ht="27.75" customHeight="1">
      <c r="A19" s="19" t="s">
        <v>145</v>
      </c>
      <c r="C19" s="16">
        <f>-'FS-Conso'!C221</f>
        <v>-5170469</v>
      </c>
      <c r="D19" s="17"/>
      <c r="E19" s="16">
        <f>-'FS-Conso'!E221</f>
        <v>-4155179</v>
      </c>
      <c r="F19" s="18"/>
      <c r="G19" s="16">
        <f>-'FS-Conso'!G221</f>
        <v>-158801539</v>
      </c>
      <c r="H19" s="16"/>
      <c r="I19" s="16">
        <v>-129364839</v>
      </c>
      <c r="J19" s="18"/>
    </row>
    <row r="20" spans="1:10" ht="27.75" customHeight="1">
      <c r="A20" s="9" t="s">
        <v>69</v>
      </c>
      <c r="C20" s="16">
        <f>'FS-Conso'!C212</f>
        <v>1177229152</v>
      </c>
      <c r="D20" s="17"/>
      <c r="E20" s="16">
        <f>'FS-Conso'!E212</f>
        <v>1014753233</v>
      </c>
      <c r="F20" s="16"/>
      <c r="G20" s="16">
        <f>'FS-Conso'!G212</f>
        <v>35765518269</v>
      </c>
      <c r="H20" s="16"/>
      <c r="I20" s="16">
        <v>31673917262</v>
      </c>
      <c r="J20" s="16"/>
    </row>
    <row r="21" spans="1:10" ht="27.75" customHeight="1">
      <c r="A21" s="9" t="s">
        <v>218</v>
      </c>
      <c r="C21" s="16">
        <f>'FS-Conso'!C218</f>
        <v>0</v>
      </c>
      <c r="D21" s="17"/>
      <c r="E21" s="16">
        <f>'FS-Conso'!E218</f>
        <v>109167123</v>
      </c>
      <c r="F21" s="16"/>
      <c r="G21" s="16">
        <f>'FS-Conso'!G218</f>
        <v>0</v>
      </c>
      <c r="H21" s="16"/>
      <c r="I21" s="16">
        <v>3455128281</v>
      </c>
      <c r="J21" s="16"/>
    </row>
    <row r="22" spans="1:14" ht="27.75" customHeight="1">
      <c r="A22" s="9" t="s">
        <v>90</v>
      </c>
      <c r="C22" s="16">
        <v>3421142</v>
      </c>
      <c r="D22" s="17"/>
      <c r="E22" s="16">
        <v>7203175</v>
      </c>
      <c r="F22" s="16"/>
      <c r="G22" s="20">
        <v>103972804</v>
      </c>
      <c r="H22" s="18"/>
      <c r="I22" s="20">
        <v>225013693</v>
      </c>
      <c r="J22" s="16"/>
      <c r="N22" s="17"/>
    </row>
    <row r="23" spans="1:10" ht="27.75" customHeight="1">
      <c r="A23" s="9" t="s">
        <v>101</v>
      </c>
      <c r="C23" s="16">
        <v>48465781</v>
      </c>
      <c r="D23" s="17"/>
      <c r="E23" s="16">
        <v>66731651</v>
      </c>
      <c r="F23" s="16"/>
      <c r="G23" s="21">
        <v>1487144010</v>
      </c>
      <c r="H23" s="16"/>
      <c r="I23" s="21">
        <v>2089204090</v>
      </c>
      <c r="J23" s="16"/>
    </row>
    <row r="24" spans="1:10" ht="24">
      <c r="A24" s="9" t="s">
        <v>206</v>
      </c>
      <c r="C24" s="16">
        <v>5853646</v>
      </c>
      <c r="D24" s="17"/>
      <c r="E24" s="16">
        <v>2165590</v>
      </c>
      <c r="F24" s="16"/>
      <c r="G24" s="22">
        <v>185192510</v>
      </c>
      <c r="H24" s="16"/>
      <c r="I24" s="22">
        <v>67379462</v>
      </c>
      <c r="J24" s="16"/>
    </row>
    <row r="25" spans="1:10" ht="24">
      <c r="A25" s="9" t="s">
        <v>87</v>
      </c>
      <c r="C25" s="16">
        <v>-4645615</v>
      </c>
      <c r="D25" s="17"/>
      <c r="E25" s="16">
        <f>3325376-104083</f>
        <v>3221293</v>
      </c>
      <c r="F25" s="16"/>
      <c r="G25" s="22">
        <v>-141186066</v>
      </c>
      <c r="H25" s="18"/>
      <c r="I25" s="22">
        <v>98451699</v>
      </c>
      <c r="J25" s="16"/>
    </row>
    <row r="26" spans="1:10" ht="24">
      <c r="A26" s="9" t="s">
        <v>217</v>
      </c>
      <c r="C26" s="21">
        <v>937406</v>
      </c>
      <c r="D26" s="17"/>
      <c r="E26" s="21">
        <f>'FS-Conso'!E216</f>
        <v>26233261</v>
      </c>
      <c r="F26" s="16"/>
      <c r="G26" s="16">
        <v>28488945</v>
      </c>
      <c r="H26" s="18"/>
      <c r="I26" s="22">
        <v>813331275</v>
      </c>
      <c r="J26" s="16"/>
    </row>
    <row r="27" spans="1:10" ht="24" hidden="1">
      <c r="A27" s="9" t="s">
        <v>77</v>
      </c>
      <c r="C27" s="16"/>
      <c r="E27" s="16"/>
      <c r="F27" s="16"/>
      <c r="G27" s="22"/>
      <c r="H27" s="16"/>
      <c r="I27" s="22"/>
      <c r="J27" s="16"/>
    </row>
    <row r="28" spans="1:10" ht="24" hidden="1">
      <c r="A28" s="9" t="s">
        <v>110</v>
      </c>
      <c r="C28" s="16"/>
      <c r="E28" s="16"/>
      <c r="F28" s="16"/>
      <c r="G28" s="22"/>
      <c r="H28" s="16"/>
      <c r="I28" s="22"/>
      <c r="J28" s="16"/>
    </row>
    <row r="29" spans="1:10" ht="24">
      <c r="A29" s="9" t="s">
        <v>152</v>
      </c>
      <c r="C29" s="16">
        <v>10092424</v>
      </c>
      <c r="E29" s="16">
        <v>11659947</v>
      </c>
      <c r="F29" s="16"/>
      <c r="G29" s="22">
        <v>308705145</v>
      </c>
      <c r="H29" s="16"/>
      <c r="I29" s="22">
        <v>362726316</v>
      </c>
      <c r="J29" s="16"/>
    </row>
    <row r="30" spans="1:10" ht="24">
      <c r="A30" s="9" t="s">
        <v>34</v>
      </c>
      <c r="C30" s="16">
        <v>-387</v>
      </c>
      <c r="E30" s="4">
        <v>0</v>
      </c>
      <c r="F30" s="16"/>
      <c r="G30" s="22">
        <v>-11761</v>
      </c>
      <c r="H30" s="16"/>
      <c r="I30" s="4">
        <v>0</v>
      </c>
      <c r="J30" s="16"/>
    </row>
    <row r="31" spans="1:10" ht="24">
      <c r="A31" s="325" t="s">
        <v>221</v>
      </c>
      <c r="C31" s="16">
        <v>31755589</v>
      </c>
      <c r="D31" s="23"/>
      <c r="E31" s="16">
        <f>27291273+1</f>
        <v>27291274</v>
      </c>
      <c r="F31" s="16"/>
      <c r="G31" s="22">
        <v>965092264</v>
      </c>
      <c r="H31" s="16"/>
      <c r="I31" s="22">
        <v>851970779</v>
      </c>
      <c r="J31" s="16"/>
    </row>
    <row r="32" spans="1:10" ht="24">
      <c r="A32" s="9" t="s">
        <v>133</v>
      </c>
      <c r="C32" s="16">
        <v>109400330</v>
      </c>
      <c r="D32" s="23"/>
      <c r="E32" s="16">
        <v>109960784</v>
      </c>
      <c r="F32" s="16"/>
      <c r="G32" s="16">
        <v>3322448797</v>
      </c>
      <c r="H32" s="16"/>
      <c r="I32" s="16">
        <v>3437753747</v>
      </c>
      <c r="J32" s="16"/>
    </row>
    <row r="33" spans="3:10" ht="24">
      <c r="C33" s="24">
        <f>SUM(C16:C32)</f>
        <v>4059528830</v>
      </c>
      <c r="D33" s="25"/>
      <c r="E33" s="24">
        <f>SUM(E16:E32)</f>
        <v>3746969262</v>
      </c>
      <c r="F33" s="25"/>
      <c r="G33" s="24">
        <f>SUM(G16:G32)</f>
        <v>123281660875</v>
      </c>
      <c r="H33" s="25"/>
      <c r="I33" s="24">
        <f>SUM(I16:I32)</f>
        <v>117002997746</v>
      </c>
      <c r="J33" s="25"/>
    </row>
    <row r="34" spans="1:10" ht="24">
      <c r="A34" s="9" t="s">
        <v>185</v>
      </c>
      <c r="C34" s="17"/>
      <c r="D34" s="17"/>
      <c r="E34" s="17"/>
      <c r="F34" s="18"/>
      <c r="G34" s="17"/>
      <c r="H34" s="18"/>
      <c r="I34" s="17"/>
      <c r="J34" s="18"/>
    </row>
    <row r="35" spans="1:10" ht="27.75" customHeight="1">
      <c r="A35" s="9" t="s">
        <v>186</v>
      </c>
      <c r="C35" s="17">
        <v>274073626</v>
      </c>
      <c r="D35" s="22"/>
      <c r="E35" s="17">
        <v>-294476941</v>
      </c>
      <c r="F35" s="18"/>
      <c r="G35" s="17">
        <v>8329442017</v>
      </c>
      <c r="H35" s="18"/>
      <c r="I35" s="17">
        <v>-9192892812</v>
      </c>
      <c r="J35" s="18"/>
    </row>
    <row r="36" spans="1:10" ht="24">
      <c r="A36" s="9" t="s">
        <v>187</v>
      </c>
      <c r="C36" s="17">
        <v>31043077</v>
      </c>
      <c r="D36" s="22"/>
      <c r="E36" s="17">
        <v>-29033634</v>
      </c>
      <c r="F36" s="18"/>
      <c r="G36" s="17">
        <v>943438139</v>
      </c>
      <c r="H36" s="18"/>
      <c r="I36" s="17">
        <v>-906363267</v>
      </c>
      <c r="J36" s="18"/>
    </row>
    <row r="37" spans="1:10" ht="24">
      <c r="A37" s="9" t="s">
        <v>188</v>
      </c>
      <c r="C37" s="17">
        <f>2300373+45532271</f>
        <v>47832644</v>
      </c>
      <c r="D37" s="22"/>
      <c r="E37" s="17">
        <v>145543272</v>
      </c>
      <c r="F37" s="18"/>
      <c r="G37" s="17">
        <f>69911217+(45532271/0.0329042)</f>
        <v>1453694168.720449</v>
      </c>
      <c r="H37" s="18"/>
      <c r="I37" s="17">
        <v>4543526188</v>
      </c>
      <c r="J37" s="18"/>
    </row>
    <row r="38" spans="1:10" ht="27.75" customHeight="1">
      <c r="A38" s="9" t="s">
        <v>189</v>
      </c>
      <c r="C38" s="17">
        <v>-6909216</v>
      </c>
      <c r="D38" s="22"/>
      <c r="E38" s="17">
        <v>-5251399</v>
      </c>
      <c r="F38" s="18"/>
      <c r="G38" s="17">
        <v>-209979761</v>
      </c>
      <c r="H38" s="18"/>
      <c r="I38" s="17">
        <v>-163936612</v>
      </c>
      <c r="J38" s="18"/>
    </row>
    <row r="39" spans="1:10" ht="27.75" customHeight="1">
      <c r="A39" s="9" t="s">
        <v>190</v>
      </c>
      <c r="C39" s="17">
        <v>-36441545</v>
      </c>
      <c r="D39" s="22"/>
      <c r="E39" s="17">
        <v>-17146748</v>
      </c>
      <c r="F39" s="18"/>
      <c r="G39" s="17">
        <v>-1107504363</v>
      </c>
      <c r="H39" s="18"/>
      <c r="I39" s="17">
        <v>-535282037</v>
      </c>
      <c r="J39" s="18"/>
    </row>
    <row r="40" spans="1:12" ht="27.75" customHeight="1">
      <c r="A40" s="9" t="s">
        <v>11</v>
      </c>
      <c r="C40" s="17">
        <v>19736788</v>
      </c>
      <c r="D40" s="22"/>
      <c r="E40" s="17">
        <v>-11614894</v>
      </c>
      <c r="F40" s="18"/>
      <c r="G40" s="17">
        <v>599825805</v>
      </c>
      <c r="H40" s="18"/>
      <c r="I40" s="17">
        <v>-362590282</v>
      </c>
      <c r="J40" s="18"/>
      <c r="L40" s="122"/>
    </row>
    <row r="41" spans="1:10" ht="24">
      <c r="A41" s="9" t="s">
        <v>212</v>
      </c>
      <c r="C41" s="17">
        <v>34125487</v>
      </c>
      <c r="D41" s="22"/>
      <c r="E41" s="17">
        <v>64586377</v>
      </c>
      <c r="F41" s="26"/>
      <c r="G41" s="17">
        <v>1037116460</v>
      </c>
      <c r="H41" s="18"/>
      <c r="I41" s="17">
        <v>2016238156</v>
      </c>
      <c r="J41" s="26"/>
    </row>
    <row r="42" spans="1:10" ht="24">
      <c r="A42" s="9" t="s">
        <v>191</v>
      </c>
      <c r="C42" s="17">
        <v>616836</v>
      </c>
      <c r="D42" s="22"/>
      <c r="E42" s="17">
        <v>8859643</v>
      </c>
      <c r="F42" s="18"/>
      <c r="G42" s="17">
        <v>18746434</v>
      </c>
      <c r="H42" s="17"/>
      <c r="I42" s="17">
        <v>276577671</v>
      </c>
      <c r="J42" s="18"/>
    </row>
    <row r="43" spans="1:10" ht="24">
      <c r="A43" s="9" t="s">
        <v>213</v>
      </c>
      <c r="C43" s="17">
        <v>-10162349</v>
      </c>
      <c r="D43" s="22"/>
      <c r="E43" s="17">
        <v>-854468</v>
      </c>
      <c r="F43" s="18"/>
      <c r="G43" s="17">
        <v>-308846555</v>
      </c>
      <c r="H43" s="18"/>
      <c r="I43" s="17">
        <v>-26674517</v>
      </c>
      <c r="J43" s="18"/>
    </row>
    <row r="44" spans="1:10" ht="24" hidden="1">
      <c r="A44" s="9" t="s">
        <v>98</v>
      </c>
      <c r="C44" s="16"/>
      <c r="D44" s="17"/>
      <c r="E44" s="16"/>
      <c r="F44" s="16"/>
      <c r="G44" s="17"/>
      <c r="H44" s="18"/>
      <c r="I44" s="17"/>
      <c r="J44" s="16"/>
    </row>
    <row r="45" spans="1:10" ht="24">
      <c r="A45" s="28" t="s">
        <v>192</v>
      </c>
      <c r="C45" s="17"/>
      <c r="D45" s="22"/>
      <c r="J45" s="18"/>
    </row>
    <row r="46" spans="1:10" ht="27" customHeight="1">
      <c r="A46" s="9" t="s">
        <v>193</v>
      </c>
      <c r="C46" s="301">
        <v>-9779113</v>
      </c>
      <c r="D46" s="17"/>
      <c r="E46" s="17">
        <v>26178047</v>
      </c>
      <c r="F46" s="18"/>
      <c r="G46" s="17">
        <v>-297199533</v>
      </c>
      <c r="H46" s="18"/>
      <c r="I46" s="17">
        <v>817218417</v>
      </c>
      <c r="J46" s="23"/>
    </row>
    <row r="47" spans="1:10" ht="24.75" customHeight="1">
      <c r="A47" s="9" t="s">
        <v>194</v>
      </c>
      <c r="C47" s="17">
        <v>6322102</v>
      </c>
      <c r="D47" s="27"/>
      <c r="E47" s="17">
        <v>-13808764</v>
      </c>
      <c r="F47" s="23"/>
      <c r="G47" s="17">
        <v>192136642</v>
      </c>
      <c r="H47" s="23"/>
      <c r="I47" s="17">
        <v>-431077867</v>
      </c>
      <c r="J47" s="27"/>
    </row>
    <row r="48" spans="4:10" ht="24.75" customHeight="1">
      <c r="D48" s="27"/>
      <c r="E48" s="17"/>
      <c r="F48" s="23"/>
      <c r="G48" s="17"/>
      <c r="H48" s="23"/>
      <c r="I48" s="17"/>
      <c r="J48" s="27"/>
    </row>
    <row r="49" ht="30.75" customHeight="1">
      <c r="A49" s="9" t="str">
        <f>'FS-Conso'!A44</f>
        <v>หมายเหตุประกอบข้อมูลทางการเงินระหว่างกาลเป็นส่วนหนึ่งของข้อมูลทางการเงินนี้       </v>
      </c>
    </row>
    <row r="50" spans="1:13" s="8" customFormat="1" ht="25.5" customHeight="1">
      <c r="A50" s="353">
        <v>20</v>
      </c>
      <c r="B50" s="353"/>
      <c r="C50" s="353"/>
      <c r="D50" s="353"/>
      <c r="E50" s="353"/>
      <c r="F50" s="353"/>
      <c r="G50" s="353"/>
      <c r="H50" s="353"/>
      <c r="I50" s="353"/>
      <c r="J50" s="48"/>
      <c r="K50" s="127"/>
      <c r="L50" s="130"/>
      <c r="M50" s="9"/>
    </row>
    <row r="51" spans="1:13" s="8" customFormat="1" ht="25.5" customHeight="1">
      <c r="A51" s="321"/>
      <c r="B51" s="321"/>
      <c r="C51" s="321"/>
      <c r="D51" s="321"/>
      <c r="E51" s="321"/>
      <c r="F51" s="321"/>
      <c r="G51" s="321"/>
      <c r="H51" s="321"/>
      <c r="I51" s="59" t="s">
        <v>113</v>
      </c>
      <c r="J51" s="48"/>
      <c r="K51" s="127"/>
      <c r="L51" s="130"/>
      <c r="M51" s="9"/>
    </row>
    <row r="52" spans="1:13" s="8" customFormat="1" ht="25.5" customHeight="1">
      <c r="A52" s="321"/>
      <c r="B52" s="321"/>
      <c r="C52" s="321"/>
      <c r="D52" s="321"/>
      <c r="E52" s="321"/>
      <c r="F52" s="321"/>
      <c r="G52" s="321"/>
      <c r="H52" s="321"/>
      <c r="I52" s="59" t="s">
        <v>114</v>
      </c>
      <c r="J52" s="48"/>
      <c r="K52" s="127"/>
      <c r="L52" s="130"/>
      <c r="M52" s="9"/>
    </row>
    <row r="53" spans="1:13" s="8" customFormat="1" ht="25.5" customHeight="1">
      <c r="A53" s="355" t="s">
        <v>4</v>
      </c>
      <c r="B53" s="355"/>
      <c r="C53" s="355"/>
      <c r="D53" s="355"/>
      <c r="E53" s="355"/>
      <c r="F53" s="355"/>
      <c r="G53" s="355"/>
      <c r="H53" s="355"/>
      <c r="I53" s="355"/>
      <c r="J53" s="11"/>
      <c r="K53" s="127"/>
      <c r="L53" s="130"/>
      <c r="M53" s="9"/>
    </row>
    <row r="54" spans="1:13" s="8" customFormat="1" ht="25.5" customHeight="1">
      <c r="A54" s="355" t="s">
        <v>38</v>
      </c>
      <c r="B54" s="355"/>
      <c r="C54" s="355"/>
      <c r="D54" s="355"/>
      <c r="E54" s="355"/>
      <c r="F54" s="355"/>
      <c r="G54" s="355"/>
      <c r="H54" s="355"/>
      <c r="I54" s="355"/>
      <c r="J54" s="11"/>
      <c r="K54" s="127"/>
      <c r="L54" s="130"/>
      <c r="M54" s="9"/>
    </row>
    <row r="55" spans="1:13" s="8" customFormat="1" ht="25.5" customHeight="1">
      <c r="A55" s="355" t="str">
        <f>A6</f>
        <v>สำหรับงวดเก้าเดือนสิ้นสุดวันที่ 30 กันยายน 2556</v>
      </c>
      <c r="B55" s="355"/>
      <c r="C55" s="355"/>
      <c r="D55" s="355"/>
      <c r="E55" s="355"/>
      <c r="F55" s="355"/>
      <c r="G55" s="355"/>
      <c r="H55" s="355"/>
      <c r="I55" s="355"/>
      <c r="J55" s="11"/>
      <c r="K55" s="127"/>
      <c r="L55" s="130"/>
      <c r="M55" s="9"/>
    </row>
    <row r="56" spans="1:13" s="8" customFormat="1" ht="25.5" customHeight="1">
      <c r="A56" s="344" t="s">
        <v>147</v>
      </c>
      <c r="B56" s="344"/>
      <c r="C56" s="344"/>
      <c r="D56" s="344"/>
      <c r="E56" s="344"/>
      <c r="F56" s="344"/>
      <c r="G56" s="344"/>
      <c r="H56" s="344"/>
      <c r="I56" s="344"/>
      <c r="J56" s="11"/>
      <c r="K56" s="127"/>
      <c r="L56" s="130"/>
      <c r="M56" s="9"/>
    </row>
    <row r="57" spans="11:13" s="8" customFormat="1" ht="19.5" customHeight="1">
      <c r="K57" s="127"/>
      <c r="L57" s="130"/>
      <c r="M57" s="9"/>
    </row>
    <row r="58" spans="1:10" ht="24">
      <c r="A58" s="12"/>
      <c r="B58" s="12"/>
      <c r="C58" s="330" t="s">
        <v>128</v>
      </c>
      <c r="D58" s="330"/>
      <c r="E58" s="330"/>
      <c r="F58" s="54"/>
      <c r="G58" s="330" t="s">
        <v>67</v>
      </c>
      <c r="H58" s="330"/>
      <c r="I58" s="330"/>
      <c r="J58" s="12"/>
    </row>
    <row r="59" spans="1:10" ht="10.5" customHeight="1">
      <c r="A59" s="12"/>
      <c r="B59" s="12"/>
      <c r="C59" s="307"/>
      <c r="D59" s="307"/>
      <c r="E59" s="307"/>
      <c r="F59" s="54"/>
      <c r="G59" s="307"/>
      <c r="H59" s="307"/>
      <c r="I59" s="307"/>
      <c r="J59" s="12"/>
    </row>
    <row r="60" spans="1:10" ht="24">
      <c r="A60" s="12"/>
      <c r="B60" s="12"/>
      <c r="C60" s="13">
        <f>+C12</f>
        <v>2556</v>
      </c>
      <c r="D60" s="12"/>
      <c r="E60" s="13">
        <f>+E12</f>
        <v>2555</v>
      </c>
      <c r="F60" s="12"/>
      <c r="G60" s="13">
        <f>+G12</f>
        <v>2556</v>
      </c>
      <c r="H60" s="12"/>
      <c r="I60" s="13">
        <f>+I12</f>
        <v>2555</v>
      </c>
      <c r="J60" s="12"/>
    </row>
    <row r="61" spans="3:13" s="5" customFormat="1" ht="21" customHeight="1">
      <c r="C61" s="315"/>
      <c r="D61" s="315"/>
      <c r="E61" s="315"/>
      <c r="F61" s="315"/>
      <c r="G61" s="315"/>
      <c r="H61" s="315"/>
      <c r="I61" s="315"/>
      <c r="K61" s="127"/>
      <c r="L61" s="130"/>
      <c r="M61" s="9"/>
    </row>
    <row r="62" spans="3:13" s="12" customFormat="1" ht="24">
      <c r="C62" s="13"/>
      <c r="E62" s="13"/>
      <c r="G62" s="13"/>
      <c r="I62" s="14"/>
      <c r="K62" s="127"/>
      <c r="L62" s="130"/>
      <c r="M62" s="9"/>
    </row>
    <row r="63" spans="1:13" ht="25.5" customHeight="1">
      <c r="A63" s="28" t="s">
        <v>195</v>
      </c>
      <c r="F63" s="29"/>
      <c r="G63" s="29"/>
      <c r="H63" s="29"/>
      <c r="I63" s="30"/>
      <c r="J63" s="29"/>
      <c r="L63" s="138"/>
      <c r="M63" s="27"/>
    </row>
    <row r="64" spans="1:13" ht="24">
      <c r="A64" s="9" t="s">
        <v>196</v>
      </c>
      <c r="C64" s="17">
        <f>-306881982+162096519</f>
        <v>-144785463</v>
      </c>
      <c r="D64" s="17"/>
      <c r="E64" s="17">
        <v>-262529726</v>
      </c>
      <c r="F64" s="23"/>
      <c r="G64" s="17">
        <f>-9326529196+4926316981</f>
        <v>-4400212215</v>
      </c>
      <c r="H64" s="23"/>
      <c r="I64" s="17">
        <v>-8195574223</v>
      </c>
      <c r="J64" s="23"/>
      <c r="L64" s="306"/>
      <c r="M64" s="27"/>
    </row>
    <row r="65" spans="1:13" ht="24">
      <c r="A65" s="9" t="s">
        <v>197</v>
      </c>
      <c r="C65" s="17">
        <f>-38037599+1</f>
        <v>-38037598</v>
      </c>
      <c r="D65" s="17"/>
      <c r="E65" s="17">
        <f>-23713190-8446346</f>
        <v>-32159536</v>
      </c>
      <c r="F65" s="23"/>
      <c r="G65" s="17">
        <v>-1156010445</v>
      </c>
      <c r="H65" s="23"/>
      <c r="I65" s="17">
        <f>-740271264-263675508</f>
        <v>-1003946772</v>
      </c>
      <c r="J65" s="23"/>
      <c r="L65" s="23"/>
      <c r="M65" s="27"/>
    </row>
    <row r="66" spans="1:13" ht="24" hidden="1">
      <c r="A66" s="9" t="s">
        <v>56</v>
      </c>
      <c r="C66" s="17"/>
      <c r="D66" s="17"/>
      <c r="E66" s="17"/>
      <c r="F66" s="23"/>
      <c r="G66" s="17"/>
      <c r="H66" s="17"/>
      <c r="I66" s="17"/>
      <c r="J66" s="23"/>
      <c r="L66" s="23"/>
      <c r="M66" s="27"/>
    </row>
    <row r="67" spans="1:13" ht="24" hidden="1">
      <c r="A67" s="9" t="s">
        <v>98</v>
      </c>
      <c r="C67" s="16"/>
      <c r="D67" s="17"/>
      <c r="E67" s="16"/>
      <c r="F67" s="16"/>
      <c r="G67" s="17"/>
      <c r="H67" s="18"/>
      <c r="I67" s="17"/>
      <c r="J67" s="16"/>
      <c r="L67" s="23"/>
      <c r="M67" s="27"/>
    </row>
    <row r="68" spans="1:13" ht="24">
      <c r="A68" s="9" t="s">
        <v>57</v>
      </c>
      <c r="C68" s="16">
        <v>-9897019</v>
      </c>
      <c r="D68" s="31"/>
      <c r="E68" s="17">
        <v>-11882689</v>
      </c>
      <c r="F68" s="23"/>
      <c r="G68" s="17">
        <v>-300782851</v>
      </c>
      <c r="H68" s="17"/>
      <c r="I68" s="17">
        <v>-370950209</v>
      </c>
      <c r="J68" s="23"/>
      <c r="L68" s="23"/>
      <c r="M68" s="27"/>
    </row>
    <row r="69" spans="1:13" ht="27.75" customHeight="1">
      <c r="A69" s="9" t="s">
        <v>215</v>
      </c>
      <c r="C69" s="17">
        <v>39941451</v>
      </c>
      <c r="D69" s="31"/>
      <c r="E69" s="17">
        <v>-44259478</v>
      </c>
      <c r="F69" s="23"/>
      <c r="G69" s="23">
        <v>1213870902</v>
      </c>
      <c r="H69" s="17"/>
      <c r="I69" s="23">
        <v>-1381679105</v>
      </c>
      <c r="J69" s="23"/>
      <c r="L69" s="23"/>
      <c r="M69" s="27"/>
    </row>
    <row r="70" spans="1:13" ht="27.75" customHeight="1">
      <c r="A70" s="28" t="s">
        <v>102</v>
      </c>
      <c r="C70" s="17">
        <v>27897979</v>
      </c>
      <c r="D70" s="31"/>
      <c r="E70" s="17">
        <v>22709355</v>
      </c>
      <c r="F70" s="23"/>
      <c r="G70" s="23">
        <v>847854628</v>
      </c>
      <c r="H70" s="17"/>
      <c r="I70" s="23">
        <v>708933831</v>
      </c>
      <c r="J70" s="23"/>
      <c r="L70" s="23"/>
      <c r="M70" s="27"/>
    </row>
    <row r="71" spans="1:13" ht="27.75" customHeight="1">
      <c r="A71" s="28" t="s">
        <v>103</v>
      </c>
      <c r="C71" s="17">
        <v>-1235979125</v>
      </c>
      <c r="D71" s="31"/>
      <c r="E71" s="17">
        <v>-985000751</v>
      </c>
      <c r="F71" s="23"/>
      <c r="G71" s="23">
        <v>-37562959299</v>
      </c>
      <c r="H71" s="17"/>
      <c r="I71" s="23">
        <v>-30749457949</v>
      </c>
      <c r="J71" s="23"/>
      <c r="L71" s="31"/>
      <c r="M71" s="27"/>
    </row>
    <row r="72" spans="3:13" ht="27" customHeight="1">
      <c r="C72" s="32">
        <f>SUM(C35:C47,C64:C71)</f>
        <v>-1010401438</v>
      </c>
      <c r="D72" s="31"/>
      <c r="E72" s="32">
        <f>SUM(E35:E47,E64:E71)</f>
        <v>-1440142334</v>
      </c>
      <c r="F72" s="23"/>
      <c r="G72" s="32">
        <f>SUM(G35:G47,G64:G71)</f>
        <v>-30707369826.27955</v>
      </c>
      <c r="H72" s="17"/>
      <c r="I72" s="32">
        <f>SUM(I35:I47,I64:I71)</f>
        <v>-44957931389</v>
      </c>
      <c r="J72" s="23"/>
      <c r="L72" s="31"/>
      <c r="M72" s="27"/>
    </row>
    <row r="73" spans="1:13" ht="27" customHeight="1">
      <c r="A73" s="8" t="s">
        <v>40</v>
      </c>
      <c r="C73" s="33">
        <f>C33+C72</f>
        <v>3049127392</v>
      </c>
      <c r="D73" s="31"/>
      <c r="E73" s="33">
        <f>E33+E72</f>
        <v>2306826928</v>
      </c>
      <c r="F73" s="23"/>
      <c r="G73" s="33">
        <f>G33+G72</f>
        <v>92574291048.72046</v>
      </c>
      <c r="H73" s="17"/>
      <c r="I73" s="33">
        <f>I33+I72</f>
        <v>72045066357</v>
      </c>
      <c r="J73" s="23"/>
      <c r="L73" s="138"/>
      <c r="M73" s="27"/>
    </row>
    <row r="74" spans="1:10" ht="24">
      <c r="A74" s="8" t="s">
        <v>41</v>
      </c>
      <c r="B74" s="8"/>
      <c r="C74" s="34"/>
      <c r="D74" s="35"/>
      <c r="E74" s="34"/>
      <c r="F74" s="35"/>
      <c r="G74" s="34"/>
      <c r="H74" s="17"/>
      <c r="I74" s="34"/>
      <c r="J74" s="35"/>
    </row>
    <row r="75" spans="1:10" ht="24">
      <c r="A75" s="9" t="s">
        <v>222</v>
      </c>
      <c r="C75" s="17">
        <v>0</v>
      </c>
      <c r="D75" s="17"/>
      <c r="E75" s="17">
        <v>-69345960</v>
      </c>
      <c r="F75" s="18"/>
      <c r="G75" s="17">
        <v>0</v>
      </c>
      <c r="H75" s="18"/>
      <c r="I75" s="17">
        <v>-2137852753</v>
      </c>
      <c r="J75" s="18"/>
    </row>
    <row r="76" spans="1:10" ht="24">
      <c r="A76" s="28" t="s">
        <v>198</v>
      </c>
      <c r="C76" s="17">
        <v>0</v>
      </c>
      <c r="D76" s="23"/>
      <c r="E76" s="17">
        <v>183757</v>
      </c>
      <c r="F76" s="23"/>
      <c r="G76" s="17">
        <v>0</v>
      </c>
      <c r="H76" s="23"/>
      <c r="I76" s="17">
        <v>5736492</v>
      </c>
      <c r="J76" s="23"/>
    </row>
    <row r="77" spans="1:10" ht="24">
      <c r="A77" s="9" t="s">
        <v>236</v>
      </c>
      <c r="C77" s="17">
        <v>0</v>
      </c>
      <c r="D77" s="23"/>
      <c r="E77" s="17">
        <f>-1883984939+8446346</f>
        <v>-1875538593</v>
      </c>
      <c r="F77" s="23"/>
      <c r="G77" s="17">
        <v>0</v>
      </c>
      <c r="H77" s="23"/>
      <c r="I77" s="17">
        <v>-58550001133</v>
      </c>
      <c r="J77" s="23"/>
    </row>
    <row r="78" spans="1:11" ht="24">
      <c r="A78" s="9" t="s">
        <v>199</v>
      </c>
      <c r="C78" s="17">
        <v>0</v>
      </c>
      <c r="D78" s="23"/>
      <c r="E78" s="17">
        <v>-140827</v>
      </c>
      <c r="F78" s="23"/>
      <c r="G78" s="17">
        <v>0</v>
      </c>
      <c r="H78" s="23"/>
      <c r="I78" s="17">
        <v>-4396295.0379</v>
      </c>
      <c r="J78" s="23"/>
      <c r="K78" s="17"/>
    </row>
    <row r="79" spans="1:10" ht="24">
      <c r="A79" s="9" t="s">
        <v>234</v>
      </c>
      <c r="C79" s="17">
        <v>512943</v>
      </c>
      <c r="D79" s="23"/>
      <c r="E79" s="17">
        <v>523200</v>
      </c>
      <c r="F79" s="23"/>
      <c r="G79" s="17">
        <v>15588991</v>
      </c>
      <c r="H79" s="23"/>
      <c r="I79" s="17">
        <v>16333095.0379</v>
      </c>
      <c r="J79" s="23"/>
    </row>
    <row r="80" spans="1:10" ht="24">
      <c r="A80" s="9" t="s">
        <v>104</v>
      </c>
      <c r="C80" s="17">
        <v>606328</v>
      </c>
      <c r="D80" s="23"/>
      <c r="E80" s="17">
        <v>565612</v>
      </c>
      <c r="F80" s="23"/>
      <c r="G80" s="17">
        <v>18427073</v>
      </c>
      <c r="H80" s="23"/>
      <c r="I80" s="17">
        <v>17657105</v>
      </c>
      <c r="J80" s="23"/>
    </row>
    <row r="81" spans="1:13" ht="27.75" customHeight="1">
      <c r="A81" s="9" t="s">
        <v>105</v>
      </c>
      <c r="C81" s="23">
        <f>-1974614033-162096519</f>
        <v>-2136710552</v>
      </c>
      <c r="D81" s="23"/>
      <c r="E81" s="23">
        <v>-2062375936</v>
      </c>
      <c r="F81" s="23"/>
      <c r="G81" s="17">
        <f>-60011002653-4926316981</f>
        <v>-64937319634</v>
      </c>
      <c r="H81" s="23"/>
      <c r="I81" s="17">
        <v>-64382633262</v>
      </c>
      <c r="J81" s="23"/>
      <c r="L81" s="306"/>
      <c r="M81" s="17"/>
    </row>
    <row r="82" spans="1:10" ht="27.75" customHeight="1">
      <c r="A82" s="9" t="s">
        <v>106</v>
      </c>
      <c r="C82" s="36">
        <f>34760856-45532271</f>
        <v>-10771415</v>
      </c>
      <c r="D82" s="17"/>
      <c r="E82" s="36">
        <v>-76463995</v>
      </c>
      <c r="F82" s="23"/>
      <c r="G82" s="36">
        <f>1056426124-(45532271/0.0329042)</f>
        <v>-327356827.720449</v>
      </c>
      <c r="H82" s="23"/>
      <c r="I82" s="36">
        <v>-2387030037</v>
      </c>
      <c r="J82" s="23"/>
    </row>
    <row r="83" spans="1:10" ht="27" customHeight="1">
      <c r="A83" s="8" t="s">
        <v>83</v>
      </c>
      <c r="C83" s="33">
        <f>SUM(C75:C82)</f>
        <v>-2146362696</v>
      </c>
      <c r="D83" s="31"/>
      <c r="E83" s="33">
        <f>SUM(E75:E82)</f>
        <v>-4082592742</v>
      </c>
      <c r="F83" s="31"/>
      <c r="G83" s="33">
        <f>SUM(G75:G82)</f>
        <v>-65230660397.72045</v>
      </c>
      <c r="H83" s="31"/>
      <c r="I83" s="33">
        <f>SUM(I75:I82)</f>
        <v>-127422186788</v>
      </c>
      <c r="J83" s="31"/>
    </row>
    <row r="84" spans="1:10" ht="24">
      <c r="A84" s="8" t="s">
        <v>42</v>
      </c>
      <c r="B84" s="8"/>
      <c r="C84" s="135"/>
      <c r="D84" s="136"/>
      <c r="E84" s="135"/>
      <c r="F84" s="136"/>
      <c r="G84" s="135"/>
      <c r="H84" s="136"/>
      <c r="I84" s="135"/>
      <c r="J84" s="23"/>
    </row>
    <row r="85" spans="1:10" ht="24">
      <c r="A85" s="9" t="s">
        <v>256</v>
      </c>
      <c r="B85" s="8"/>
      <c r="C85" s="17">
        <v>0</v>
      </c>
      <c r="D85" s="31"/>
      <c r="E85" s="17">
        <v>-28881374</v>
      </c>
      <c r="F85" s="23"/>
      <c r="G85" s="17">
        <v>0</v>
      </c>
      <c r="H85" s="23"/>
      <c r="I85" s="17">
        <f>45749074574-46913022000+262337344</f>
        <v>-901610082</v>
      </c>
      <c r="J85" s="23"/>
    </row>
    <row r="86" spans="1:10" ht="24">
      <c r="A86" s="9" t="s">
        <v>235</v>
      </c>
      <c r="B86" s="8"/>
      <c r="C86" s="17">
        <v>0</v>
      </c>
      <c r="D86" s="31"/>
      <c r="E86" s="17">
        <v>1502769967</v>
      </c>
      <c r="F86" s="23"/>
      <c r="G86" s="17">
        <v>0</v>
      </c>
      <c r="H86" s="23"/>
      <c r="I86" s="17">
        <v>46913022000</v>
      </c>
      <c r="J86" s="23"/>
    </row>
    <row r="87" spans="1:10" ht="24" hidden="1">
      <c r="A87" s="9" t="s">
        <v>207</v>
      </c>
      <c r="B87" s="8"/>
      <c r="C87" s="17">
        <v>0</v>
      </c>
      <c r="D87" s="31"/>
      <c r="E87" s="17">
        <v>0</v>
      </c>
      <c r="F87" s="23"/>
      <c r="G87" s="17"/>
      <c r="H87" s="23"/>
      <c r="I87" s="17">
        <v>0</v>
      </c>
      <c r="J87" s="23"/>
    </row>
    <row r="88" spans="1:10" ht="24">
      <c r="A88" s="9" t="s">
        <v>226</v>
      </c>
      <c r="B88" s="8"/>
      <c r="C88" s="17">
        <v>500000000</v>
      </c>
      <c r="D88" s="31"/>
      <c r="E88" s="17">
        <v>500000000</v>
      </c>
      <c r="F88" s="23"/>
      <c r="G88" s="17">
        <v>15195628522</v>
      </c>
      <c r="H88" s="23"/>
      <c r="I88" s="17">
        <f>-8956162137-I89+135551054</f>
        <v>15608850000</v>
      </c>
      <c r="J88" s="23"/>
    </row>
    <row r="89" spans="1:10" ht="24">
      <c r="A89" s="9" t="s">
        <v>219</v>
      </c>
      <c r="B89" s="8"/>
      <c r="C89" s="17">
        <v>-168604589</v>
      </c>
      <c r="D89" s="31"/>
      <c r="E89" s="17">
        <v>-782551600</v>
      </c>
      <c r="F89" s="23"/>
      <c r="G89" s="17">
        <v>-5124105403</v>
      </c>
      <c r="H89" s="23"/>
      <c r="I89" s="17">
        <v>-24429461083</v>
      </c>
      <c r="J89" s="23"/>
    </row>
    <row r="90" spans="1:10" ht="24">
      <c r="A90" s="9" t="s">
        <v>200</v>
      </c>
      <c r="C90" s="17">
        <v>0</v>
      </c>
      <c r="D90" s="22"/>
      <c r="E90" s="17">
        <v>478101699</v>
      </c>
      <c r="F90" s="18"/>
      <c r="G90" s="17">
        <v>0</v>
      </c>
      <c r="H90" s="18"/>
      <c r="I90" s="17">
        <f>14702602120+222633306</f>
        <v>14925235426</v>
      </c>
      <c r="J90" s="18"/>
    </row>
    <row r="91" spans="1:10" ht="24" hidden="1">
      <c r="A91" s="9" t="s">
        <v>201</v>
      </c>
      <c r="B91" s="8"/>
      <c r="C91" s="17"/>
      <c r="D91" s="31"/>
      <c r="E91" s="17"/>
      <c r="F91" s="23"/>
      <c r="G91" s="17"/>
      <c r="H91" s="23"/>
      <c r="I91" s="17"/>
      <c r="J91" s="23"/>
    </row>
    <row r="92" spans="1:10" ht="24">
      <c r="A92" s="9" t="s">
        <v>223</v>
      </c>
      <c r="B92" s="8"/>
      <c r="C92" s="17">
        <v>-113346133</v>
      </c>
      <c r="D92" s="31"/>
      <c r="E92" s="17">
        <v>-113600087</v>
      </c>
      <c r="F92" s="23"/>
      <c r="G92" s="17">
        <v>-3444731462</v>
      </c>
      <c r="H92" s="23"/>
      <c r="I92" s="17">
        <v>-3546333439</v>
      </c>
      <c r="J92" s="23"/>
    </row>
    <row r="93" spans="1:10" ht="24">
      <c r="A93" s="9" t="s">
        <v>202</v>
      </c>
      <c r="B93" s="8"/>
      <c r="C93" s="17">
        <v>-7722027</v>
      </c>
      <c r="D93" s="31"/>
      <c r="E93" s="17">
        <v>-19877240</v>
      </c>
      <c r="F93" s="23"/>
      <c r="G93" s="17">
        <v>-234682117</v>
      </c>
      <c r="H93" s="23"/>
      <c r="I93" s="17">
        <f>-135551054-222633306-262337344</f>
        <v>-620521704</v>
      </c>
      <c r="J93" s="23"/>
    </row>
    <row r="94" spans="1:10" ht="24">
      <c r="A94" s="9" t="s">
        <v>224</v>
      </c>
      <c r="B94" s="8"/>
      <c r="C94" s="17">
        <v>0</v>
      </c>
      <c r="D94" s="31"/>
      <c r="E94" s="17">
        <v>157137828</v>
      </c>
      <c r="F94" s="23"/>
      <c r="G94" s="17">
        <v>0</v>
      </c>
      <c r="H94" s="23"/>
      <c r="I94" s="17">
        <f>4905481596</f>
        <v>4905481596</v>
      </c>
      <c r="J94" s="23"/>
    </row>
    <row r="95" spans="1:10" ht="24">
      <c r="A95" s="9" t="s">
        <v>203</v>
      </c>
      <c r="B95" s="8"/>
      <c r="C95" s="17">
        <v>-7120705</v>
      </c>
      <c r="D95" s="31"/>
      <c r="E95" s="17">
        <v>-2379187</v>
      </c>
      <c r="F95" s="23"/>
      <c r="G95" s="17">
        <v>-216407183</v>
      </c>
      <c r="H95" s="23"/>
      <c r="I95" s="17">
        <v>-74272764</v>
      </c>
      <c r="J95" s="23"/>
    </row>
    <row r="96" spans="1:10" ht="24">
      <c r="A96" s="9" t="s">
        <v>225</v>
      </c>
      <c r="C96" s="17">
        <v>0</v>
      </c>
      <c r="D96" s="31"/>
      <c r="E96" s="17">
        <v>-385458</v>
      </c>
      <c r="F96" s="23"/>
      <c r="G96" s="17">
        <v>0</v>
      </c>
      <c r="H96" s="23"/>
      <c r="I96" s="17">
        <v>-12033123</v>
      </c>
      <c r="J96" s="23"/>
    </row>
    <row r="97" spans="1:10" ht="24" hidden="1">
      <c r="A97" s="9" t="s">
        <v>107</v>
      </c>
      <c r="C97" s="17"/>
      <c r="D97" s="17"/>
      <c r="E97" s="17"/>
      <c r="F97" s="23"/>
      <c r="G97" s="17"/>
      <c r="H97" s="17"/>
      <c r="I97" s="17"/>
      <c r="J97" s="23"/>
    </row>
    <row r="98" spans="1:10" ht="24">
      <c r="A98" s="9" t="s">
        <v>108</v>
      </c>
      <c r="C98" s="36">
        <v>-783293009</v>
      </c>
      <c r="D98" s="17"/>
      <c r="E98" s="36">
        <v>-587602453</v>
      </c>
      <c r="F98" s="23"/>
      <c r="G98" s="36">
        <v>-23805259175</v>
      </c>
      <c r="H98" s="23"/>
      <c r="I98" s="36">
        <v>-18343597099</v>
      </c>
      <c r="J98" s="23"/>
    </row>
    <row r="99" spans="1:13" s="8" customFormat="1" ht="27.75" customHeight="1">
      <c r="A99" s="8" t="s">
        <v>258</v>
      </c>
      <c r="C99" s="33">
        <f>SUM(C85:C98)</f>
        <v>-580086463</v>
      </c>
      <c r="D99" s="38"/>
      <c r="E99" s="33">
        <f>SUM(E85:E98)</f>
        <v>1102732095</v>
      </c>
      <c r="F99" s="38"/>
      <c r="G99" s="33">
        <f>SUM(G85:G98)</f>
        <v>-17629556818</v>
      </c>
      <c r="H99" s="38"/>
      <c r="I99" s="33">
        <f>SUM(I85:I98)</f>
        <v>34424759728</v>
      </c>
      <c r="J99" s="38"/>
      <c r="K99" s="127"/>
      <c r="L99" s="130"/>
      <c r="M99" s="9"/>
    </row>
    <row r="100" spans="1:12" ht="27.75" customHeight="1">
      <c r="A100" s="9" t="s">
        <v>257</v>
      </c>
      <c r="C100" s="17">
        <f>C73+C83+C99</f>
        <v>322678233</v>
      </c>
      <c r="D100" s="17"/>
      <c r="E100" s="17">
        <f>E73+E83+E99</f>
        <v>-673033719</v>
      </c>
      <c r="F100" s="23"/>
      <c r="G100" s="17">
        <f>G73+G83+G99</f>
        <v>9714073833.000008</v>
      </c>
      <c r="H100" s="23"/>
      <c r="I100" s="17">
        <f>I73+I83+I99</f>
        <v>-20952360703</v>
      </c>
      <c r="J100" s="23"/>
      <c r="L100" s="306"/>
    </row>
    <row r="101" spans="1:13" s="8" customFormat="1" ht="27.75" customHeight="1">
      <c r="A101" s="8" t="s">
        <v>70</v>
      </c>
      <c r="C101" s="33">
        <f>'FS-Conso'!E15</f>
        <v>2291918927</v>
      </c>
      <c r="D101" s="37"/>
      <c r="E101" s="33">
        <v>1350529553</v>
      </c>
      <c r="F101" s="31"/>
      <c r="G101" s="33">
        <f>'FS-Conso'!I15</f>
        <v>70205143796</v>
      </c>
      <c r="H101" s="31"/>
      <c r="I101" s="33">
        <v>42799902166</v>
      </c>
      <c r="J101" s="31"/>
      <c r="K101" s="127"/>
      <c r="L101" s="306"/>
      <c r="M101" s="9"/>
    </row>
    <row r="102" spans="3:12" ht="27.75" customHeight="1">
      <c r="C102" s="23">
        <f>C100+C101</f>
        <v>2614597160</v>
      </c>
      <c r="D102" s="23">
        <f>D100+D101</f>
        <v>0</v>
      </c>
      <c r="E102" s="23">
        <f>E100+E101</f>
        <v>677495834</v>
      </c>
      <c r="F102" s="23">
        <f>F100+F101</f>
        <v>0</v>
      </c>
      <c r="G102" s="23">
        <f>G100+G101</f>
        <v>79919217629</v>
      </c>
      <c r="H102" s="23"/>
      <c r="I102" s="23">
        <f>I100+I101</f>
        <v>21847541463</v>
      </c>
      <c r="J102" s="23"/>
      <c r="L102" s="306"/>
    </row>
    <row r="103" spans="1:12" ht="27.75" customHeight="1">
      <c r="A103" s="9" t="s">
        <v>43</v>
      </c>
      <c r="C103" s="36">
        <v>-24828580</v>
      </c>
      <c r="D103" s="23"/>
      <c r="E103" s="36">
        <v>-2463230</v>
      </c>
      <c r="F103" s="23"/>
      <c r="G103" s="36">
        <v>1375363074</v>
      </c>
      <c r="H103" s="23"/>
      <c r="I103" s="36">
        <v>-1037096321</v>
      </c>
      <c r="J103" s="23"/>
      <c r="L103" s="306"/>
    </row>
    <row r="104" spans="1:12" ht="27.75" customHeight="1" thickBot="1">
      <c r="A104" s="8" t="s">
        <v>71</v>
      </c>
      <c r="C104" s="39">
        <f>C102+C103</f>
        <v>2589768580</v>
      </c>
      <c r="D104" s="31">
        <f>D102+D103</f>
        <v>0</v>
      </c>
      <c r="E104" s="39">
        <f>E102+E103</f>
        <v>675032604</v>
      </c>
      <c r="F104" s="31">
        <f>F102+F103</f>
        <v>0</v>
      </c>
      <c r="G104" s="39">
        <f>G102+G103</f>
        <v>81294580703</v>
      </c>
      <c r="H104" s="31">
        <f>H102+H103</f>
        <v>0</v>
      </c>
      <c r="I104" s="39">
        <f>I102+I103</f>
        <v>20810445142</v>
      </c>
      <c r="J104" s="31"/>
      <c r="L104" s="306"/>
    </row>
    <row r="105" spans="1:12" ht="24">
      <c r="A105" s="27"/>
      <c r="B105" s="40"/>
      <c r="C105" s="52">
        <f>+C104-'FS-Conso'!C15</f>
        <v>0</v>
      </c>
      <c r="D105" s="53"/>
      <c r="E105" s="52">
        <f>E104-675032604</f>
        <v>0</v>
      </c>
      <c r="F105" s="52"/>
      <c r="G105" s="52">
        <f>+G104-'FS-Conso'!G15</f>
        <v>0</v>
      </c>
      <c r="H105" s="52"/>
      <c r="I105" s="52">
        <f>I104-20810445142</f>
        <v>0</v>
      </c>
      <c r="J105" s="52"/>
      <c r="L105" s="306"/>
    </row>
    <row r="106" spans="1:12" ht="24">
      <c r="A106" s="27" t="s">
        <v>153</v>
      </c>
      <c r="B106" s="40"/>
      <c r="C106" s="52"/>
      <c r="D106" s="53"/>
      <c r="E106" s="52"/>
      <c r="F106" s="52"/>
      <c r="G106" s="52"/>
      <c r="H106" s="52"/>
      <c r="I106" s="52"/>
      <c r="J106" s="41"/>
      <c r="L106" s="306"/>
    </row>
    <row r="107" spans="1:12" ht="24">
      <c r="A107" s="27" t="s">
        <v>154</v>
      </c>
      <c r="B107" s="40"/>
      <c r="C107" s="61">
        <v>312574356</v>
      </c>
      <c r="D107" s="60"/>
      <c r="E107" s="17">
        <v>308044204</v>
      </c>
      <c r="F107" s="61"/>
      <c r="G107" s="61">
        <v>9499527595</v>
      </c>
      <c r="H107" s="61"/>
      <c r="I107" s="17">
        <v>9496633162</v>
      </c>
      <c r="J107" s="41"/>
      <c r="L107" s="306"/>
    </row>
    <row r="108" spans="2:10" ht="24">
      <c r="B108" s="40"/>
      <c r="C108" s="52"/>
      <c r="D108" s="53"/>
      <c r="E108" s="52"/>
      <c r="F108" s="52"/>
      <c r="G108" s="52"/>
      <c r="H108" s="52"/>
      <c r="I108" s="52"/>
      <c r="J108" s="41"/>
    </row>
    <row r="109" spans="1:10" ht="24">
      <c r="A109" s="42" t="str">
        <f>A49</f>
        <v>หมายเหตุประกอบข้อมูลทางการเงินระหว่างกาลเป็นส่วนหนึ่งของข้อมูลทางการเงินนี้       </v>
      </c>
      <c r="B109" s="27"/>
      <c r="C109" s="43"/>
      <c r="D109" s="44"/>
      <c r="E109" s="45"/>
      <c r="F109" s="45"/>
      <c r="G109" s="45"/>
      <c r="H109" s="45"/>
      <c r="I109" s="45"/>
      <c r="J109" s="45"/>
    </row>
    <row r="110" spans="3:10" ht="27.75" customHeight="1">
      <c r="C110" s="22"/>
      <c r="D110" s="16"/>
      <c r="E110" s="17"/>
      <c r="F110" s="16"/>
      <c r="G110" s="17"/>
      <c r="H110" s="17"/>
      <c r="I110" s="17"/>
      <c r="J110" s="16"/>
    </row>
    <row r="111" spans="1:10" ht="21.75" customHeight="1">
      <c r="A111" s="46"/>
      <c r="C111" s="17"/>
      <c r="D111" s="17"/>
      <c r="E111" s="17"/>
      <c r="F111" s="17"/>
      <c r="G111" s="47"/>
      <c r="H111" s="17"/>
      <c r="I111" s="17"/>
      <c r="J111" s="17"/>
    </row>
    <row r="112" spans="3:10" ht="21.75" customHeight="1">
      <c r="C112" s="17"/>
      <c r="D112" s="17"/>
      <c r="E112" s="17"/>
      <c r="F112" s="17"/>
      <c r="G112" s="47"/>
      <c r="H112" s="17"/>
      <c r="I112" s="17"/>
      <c r="J112" s="17"/>
    </row>
    <row r="113" spans="3:10" ht="21.75" customHeight="1">
      <c r="C113" s="17"/>
      <c r="D113" s="17"/>
      <c r="E113" s="17"/>
      <c r="F113" s="17"/>
      <c r="G113" s="17"/>
      <c r="H113" s="17"/>
      <c r="I113" s="17"/>
      <c r="J113" s="17"/>
    </row>
    <row r="114" spans="3:10" ht="21.75" customHeight="1">
      <c r="C114" s="17"/>
      <c r="D114" s="17"/>
      <c r="E114" s="17"/>
      <c r="F114" s="17"/>
      <c r="G114" s="17"/>
      <c r="H114" s="17"/>
      <c r="I114" s="17"/>
      <c r="J114" s="17"/>
    </row>
    <row r="115" spans="3:10" ht="21.75" customHeight="1">
      <c r="C115" s="17"/>
      <c r="D115" s="17"/>
      <c r="E115" s="17"/>
      <c r="F115" s="17"/>
      <c r="G115" s="17"/>
      <c r="H115" s="17"/>
      <c r="I115" s="17"/>
      <c r="J115" s="17"/>
    </row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52" spans="1:12" s="10" customFormat="1" ht="24">
      <c r="A152" s="9"/>
      <c r="B152" s="9">
        <v>12.1</v>
      </c>
      <c r="D152" s="9"/>
      <c r="E152" s="9"/>
      <c r="F152" s="9"/>
      <c r="G152" s="9"/>
      <c r="H152" s="9"/>
      <c r="I152" s="9"/>
      <c r="J152" s="9"/>
      <c r="K152" s="127"/>
      <c r="L152" s="130"/>
    </row>
  </sheetData>
  <sheetProtection/>
  <mergeCells count="16">
    <mergeCell ref="C10:E10"/>
    <mergeCell ref="G10:I10"/>
    <mergeCell ref="C58:E58"/>
    <mergeCell ref="G58:I58"/>
    <mergeCell ref="A50:I50"/>
    <mergeCell ref="A53:I53"/>
    <mergeCell ref="A54:I54"/>
    <mergeCell ref="A55:I55"/>
    <mergeCell ref="A56:I56"/>
    <mergeCell ref="A1:I1"/>
    <mergeCell ref="C8:E8"/>
    <mergeCell ref="G8:I8"/>
    <mergeCell ref="A4:I4"/>
    <mergeCell ref="A5:I5"/>
    <mergeCell ref="A6:I6"/>
    <mergeCell ref="A7:I7"/>
  </mergeCells>
  <printOptions/>
  <pageMargins left="0.58" right="0.2" top="0.45" bottom="0.236220472440945" header="0.32" footer="0.42"/>
  <pageSetup fitToHeight="2" horizontalDpi="600" verticalDpi="600" orientation="portrait" paperSize="9" scale="61" r:id="rId1"/>
  <rowBreaks count="1" manualBreakCount="1">
    <brk id="4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148"/>
  <sheetViews>
    <sheetView zoomScale="90" zoomScaleNormal="90" zoomScaleSheetLayoutView="80" zoomScalePageLayoutView="90" workbookViewId="0" topLeftCell="A1">
      <selection activeCell="L254" sqref="L254"/>
    </sheetView>
  </sheetViews>
  <sheetFormatPr defaultColWidth="9.140625" defaultRowHeight="21.75"/>
  <cols>
    <col min="1" max="1" width="72.00390625" style="260" customWidth="1"/>
    <col min="2" max="2" width="1.7109375" style="260" customWidth="1"/>
    <col min="3" max="3" width="20.7109375" style="275" customWidth="1"/>
    <col min="4" max="4" width="1.7109375" style="260" customWidth="1"/>
    <col min="5" max="5" width="20.7109375" style="260" customWidth="1"/>
    <col min="6" max="6" width="1.7109375" style="260" customWidth="1"/>
    <col min="7" max="7" width="20.7109375" style="260" customWidth="1"/>
    <col min="8" max="8" width="1.7109375" style="260" customWidth="1"/>
    <col min="9" max="9" width="20.7109375" style="260" customWidth="1"/>
    <col min="10" max="10" width="1.7109375" style="260" customWidth="1"/>
    <col min="11" max="11" width="20.140625" style="260" bestFit="1" customWidth="1"/>
    <col min="12" max="12" width="18.140625" style="260" bestFit="1" customWidth="1"/>
    <col min="13" max="13" width="11.140625" style="260" bestFit="1" customWidth="1"/>
    <col min="14" max="16384" width="9.140625" style="260" customWidth="1"/>
  </cols>
  <sheetData>
    <row r="1" spans="1:10" s="250" customFormat="1" ht="25.5" customHeight="1">
      <c r="A1" s="358">
        <v>21</v>
      </c>
      <c r="B1" s="358"/>
      <c r="C1" s="358"/>
      <c r="D1" s="358"/>
      <c r="E1" s="358"/>
      <c r="F1" s="358"/>
      <c r="G1" s="358"/>
      <c r="H1" s="358"/>
      <c r="I1" s="358"/>
      <c r="J1" s="249"/>
    </row>
    <row r="2" spans="1:10" s="250" customFormat="1" ht="25.5" customHeight="1">
      <c r="A2" s="324"/>
      <c r="B2" s="324"/>
      <c r="C2" s="324"/>
      <c r="D2" s="324"/>
      <c r="E2" s="324"/>
      <c r="F2" s="324"/>
      <c r="G2" s="324"/>
      <c r="H2" s="324"/>
      <c r="I2" s="251" t="s">
        <v>113</v>
      </c>
      <c r="J2" s="249"/>
    </row>
    <row r="3" spans="1:10" s="250" customFormat="1" ht="25.5" customHeight="1">
      <c r="A3" s="324"/>
      <c r="B3" s="324"/>
      <c r="C3" s="324"/>
      <c r="D3" s="324"/>
      <c r="E3" s="324"/>
      <c r="F3" s="324"/>
      <c r="G3" s="324"/>
      <c r="H3" s="324"/>
      <c r="I3" s="251" t="s">
        <v>114</v>
      </c>
      <c r="J3" s="249"/>
    </row>
    <row r="4" spans="1:10" s="250" customFormat="1" ht="25.5" customHeight="1">
      <c r="A4" s="356" t="s">
        <v>4</v>
      </c>
      <c r="B4" s="356"/>
      <c r="C4" s="356"/>
      <c r="D4" s="356"/>
      <c r="E4" s="356"/>
      <c r="F4" s="356"/>
      <c r="G4" s="356"/>
      <c r="H4" s="356"/>
      <c r="I4" s="356"/>
      <c r="J4" s="252"/>
    </row>
    <row r="5" spans="1:10" s="250" customFormat="1" ht="25.5" customHeight="1">
      <c r="A5" s="356" t="s">
        <v>38</v>
      </c>
      <c r="B5" s="356"/>
      <c r="C5" s="356"/>
      <c r="D5" s="356"/>
      <c r="E5" s="356"/>
      <c r="F5" s="356"/>
      <c r="G5" s="356"/>
      <c r="H5" s="356"/>
      <c r="I5" s="356"/>
      <c r="J5" s="252"/>
    </row>
    <row r="6" spans="1:10" s="250" customFormat="1" ht="25.5" customHeight="1">
      <c r="A6" s="356" t="str">
        <f>+'[3]FS-The Company'!A190</f>
        <v>สำหรับงวดเก้าเดือนสิ้นสุดวันที่ 30 กันยายน 2556</v>
      </c>
      <c r="B6" s="356"/>
      <c r="C6" s="356"/>
      <c r="D6" s="356"/>
      <c r="E6" s="356"/>
      <c r="F6" s="356"/>
      <c r="G6" s="356"/>
      <c r="H6" s="356"/>
      <c r="I6" s="356"/>
      <c r="J6" s="252"/>
    </row>
    <row r="7" spans="1:10" s="250" customFormat="1" ht="25.5" customHeight="1">
      <c r="A7" s="356" t="s">
        <v>238</v>
      </c>
      <c r="B7" s="356"/>
      <c r="C7" s="356"/>
      <c r="D7" s="356"/>
      <c r="E7" s="356"/>
      <c r="F7" s="356"/>
      <c r="G7" s="356"/>
      <c r="H7" s="356"/>
      <c r="I7" s="356"/>
      <c r="J7" s="252"/>
    </row>
    <row r="8" spans="1:9" s="250" customFormat="1" ht="24.75" customHeight="1">
      <c r="A8" s="253"/>
      <c r="B8" s="254"/>
      <c r="C8" s="359"/>
      <c r="D8" s="359"/>
      <c r="E8" s="359"/>
      <c r="F8" s="253"/>
      <c r="G8" s="359"/>
      <c r="H8" s="359"/>
      <c r="I8" s="359"/>
    </row>
    <row r="9" s="250" customFormat="1" ht="19.5" customHeight="1"/>
    <row r="10" spans="3:9" s="255" customFormat="1" ht="23.25">
      <c r="C10" s="357" t="s">
        <v>128</v>
      </c>
      <c r="D10" s="357"/>
      <c r="E10" s="357"/>
      <c r="F10" s="256"/>
      <c r="G10" s="357" t="s">
        <v>67</v>
      </c>
      <c r="H10" s="357"/>
      <c r="I10" s="357"/>
    </row>
    <row r="11" spans="3:9" s="255" customFormat="1" ht="10.5" customHeight="1">
      <c r="C11" s="323"/>
      <c r="D11" s="323"/>
      <c r="E11" s="323"/>
      <c r="F11" s="256"/>
      <c r="G11" s="323"/>
      <c r="H11" s="323"/>
      <c r="I11" s="323"/>
    </row>
    <row r="12" spans="3:9" s="255" customFormat="1" ht="23.25">
      <c r="C12" s="257">
        <v>2556</v>
      </c>
      <c r="E12" s="257">
        <v>2555</v>
      </c>
      <c r="G12" s="257">
        <v>2556</v>
      </c>
      <c r="I12" s="257">
        <v>2555</v>
      </c>
    </row>
    <row r="13" spans="3:9" s="255" customFormat="1" ht="21" customHeight="1">
      <c r="C13" s="322"/>
      <c r="D13" s="322"/>
      <c r="E13" s="322"/>
      <c r="F13" s="322"/>
      <c r="G13" s="322"/>
      <c r="H13" s="322"/>
      <c r="I13" s="322"/>
    </row>
    <row r="14" spans="3:9" s="255" customFormat="1" ht="23.25">
      <c r="C14" s="303"/>
      <c r="E14" s="303"/>
      <c r="G14" s="303"/>
      <c r="I14" s="303"/>
    </row>
    <row r="15" spans="1:5" ht="27.75" customHeight="1">
      <c r="A15" s="250" t="s">
        <v>39</v>
      </c>
      <c r="B15" s="250"/>
      <c r="C15" s="259"/>
      <c r="D15" s="250"/>
      <c r="E15" s="259"/>
    </row>
    <row r="16" spans="1:11" ht="27.75" customHeight="1">
      <c r="A16" s="260" t="s">
        <v>99</v>
      </c>
      <c r="C16" s="261">
        <v>1698295475</v>
      </c>
      <c r="D16" s="261"/>
      <c r="E16" s="261">
        <v>1641622413</v>
      </c>
      <c r="F16" s="261"/>
      <c r="G16" s="261">
        <v>51580862620</v>
      </c>
      <c r="H16" s="261"/>
      <c r="I16" s="261">
        <v>51124880276</v>
      </c>
      <c r="J16" s="261"/>
      <c r="K16" s="262"/>
    </row>
    <row r="17" spans="1:11" ht="27.75" customHeight="1">
      <c r="A17" s="260" t="s">
        <v>100</v>
      </c>
      <c r="C17" s="261"/>
      <c r="D17" s="263"/>
      <c r="E17" s="261"/>
      <c r="F17" s="261"/>
      <c r="G17" s="261"/>
      <c r="H17" s="261"/>
      <c r="I17" s="261"/>
      <c r="J17" s="261"/>
      <c r="K17" s="262"/>
    </row>
    <row r="18" spans="1:11" ht="27.75" customHeight="1">
      <c r="A18" s="260" t="s">
        <v>81</v>
      </c>
      <c r="C18" s="261"/>
      <c r="D18" s="263"/>
      <c r="E18" s="261"/>
      <c r="F18" s="264"/>
      <c r="G18" s="261"/>
      <c r="H18" s="264"/>
      <c r="I18" s="261"/>
      <c r="J18" s="264"/>
      <c r="K18" s="262"/>
    </row>
    <row r="19" spans="1:11" ht="27.75" customHeight="1" hidden="1">
      <c r="A19" s="265" t="s">
        <v>247</v>
      </c>
      <c r="C19" s="261"/>
      <c r="D19" s="263"/>
      <c r="E19" s="261"/>
      <c r="F19" s="264"/>
      <c r="G19" s="261"/>
      <c r="H19" s="261"/>
      <c r="I19" s="261"/>
      <c r="J19" s="264"/>
      <c r="K19" s="262"/>
    </row>
    <row r="20" spans="1:11" ht="27.75" customHeight="1">
      <c r="A20" s="260" t="s">
        <v>69</v>
      </c>
      <c r="C20" s="261">
        <v>641664447</v>
      </c>
      <c r="D20" s="263"/>
      <c r="E20" s="261">
        <v>497433798</v>
      </c>
      <c r="F20" s="261"/>
      <c r="G20" s="261">
        <v>19492950554</v>
      </c>
      <c r="H20" s="261"/>
      <c r="I20" s="261">
        <v>15549291980</v>
      </c>
      <c r="J20" s="261"/>
      <c r="K20" s="262"/>
    </row>
    <row r="21" spans="1:11" ht="27.75" customHeight="1">
      <c r="A21" s="260" t="s">
        <v>90</v>
      </c>
      <c r="C21" s="261">
        <v>1239022</v>
      </c>
      <c r="D21" s="263"/>
      <c r="E21" s="261">
        <v>1117920</v>
      </c>
      <c r="F21" s="261"/>
      <c r="G21" s="266">
        <v>36423098</v>
      </c>
      <c r="H21" s="264"/>
      <c r="I21" s="266">
        <v>34929725</v>
      </c>
      <c r="J21" s="261"/>
      <c r="K21" s="262"/>
    </row>
    <row r="22" spans="1:13" ht="27.75" customHeight="1">
      <c r="A22" s="260" t="s">
        <v>101</v>
      </c>
      <c r="C22" s="261">
        <v>761169</v>
      </c>
      <c r="D22" s="263"/>
      <c r="E22" s="261">
        <v>11676200</v>
      </c>
      <c r="F22" s="261"/>
      <c r="G22" s="261">
        <v>23132872</v>
      </c>
      <c r="H22" s="261"/>
      <c r="I22" s="267">
        <v>369519729</v>
      </c>
      <c r="J22" s="261"/>
      <c r="K22" s="262"/>
      <c r="M22" s="263"/>
    </row>
    <row r="23" spans="1:11" ht="24">
      <c r="A23" s="260" t="s">
        <v>206</v>
      </c>
      <c r="C23" s="261">
        <v>86250</v>
      </c>
      <c r="D23" s="263"/>
      <c r="E23" s="261">
        <v>165459</v>
      </c>
      <c r="F23" s="261"/>
      <c r="G23" s="268">
        <v>2565481</v>
      </c>
      <c r="H23" s="261"/>
      <c r="I23" s="268">
        <v>5192183</v>
      </c>
      <c r="J23" s="261"/>
      <c r="K23" s="262"/>
    </row>
    <row r="24" spans="1:11" ht="24">
      <c r="A24" s="260" t="s">
        <v>87</v>
      </c>
      <c r="C24" s="261">
        <v>0</v>
      </c>
      <c r="D24" s="263"/>
      <c r="E24" s="261">
        <v>-104083</v>
      </c>
      <c r="F24" s="261"/>
      <c r="G24" s="268">
        <v>0</v>
      </c>
      <c r="H24" s="264"/>
      <c r="I24" s="268">
        <v>-3249221</v>
      </c>
      <c r="J24" s="261"/>
      <c r="K24" s="262"/>
    </row>
    <row r="25" spans="1:11" ht="24">
      <c r="A25" s="260" t="s">
        <v>141</v>
      </c>
      <c r="C25" s="261">
        <v>-2602987</v>
      </c>
      <c r="D25" s="263"/>
      <c r="E25" s="261">
        <v>-2894806</v>
      </c>
      <c r="F25" s="261"/>
      <c r="G25" s="261">
        <v>-79108044</v>
      </c>
      <c r="H25" s="264"/>
      <c r="I25" s="267">
        <v>-85561603</v>
      </c>
      <c r="J25" s="261"/>
      <c r="K25" s="262"/>
    </row>
    <row r="26" spans="1:11" ht="24">
      <c r="A26" s="260" t="s">
        <v>77</v>
      </c>
      <c r="C26" s="261">
        <v>-80944131</v>
      </c>
      <c r="E26" s="261">
        <v>-147188461</v>
      </c>
      <c r="F26" s="261"/>
      <c r="G26" s="261">
        <f>-G77</f>
        <v>-2565488577</v>
      </c>
      <c r="H26" s="261"/>
      <c r="I26" s="268">
        <v>-4488026399.999998</v>
      </c>
      <c r="J26" s="261"/>
      <c r="K26" s="262"/>
    </row>
    <row r="27" spans="1:11" ht="24" hidden="1">
      <c r="A27" s="260" t="s">
        <v>110</v>
      </c>
      <c r="C27" s="261"/>
      <c r="E27" s="261"/>
      <c r="F27" s="261"/>
      <c r="G27" s="268"/>
      <c r="H27" s="261"/>
      <c r="I27" s="268"/>
      <c r="J27" s="261"/>
      <c r="K27" s="262"/>
    </row>
    <row r="28" spans="1:11" ht="24">
      <c r="A28" s="260" t="s">
        <v>152</v>
      </c>
      <c r="C28" s="261">
        <v>8541108</v>
      </c>
      <c r="E28" s="261">
        <v>9828370</v>
      </c>
      <c r="F28" s="261"/>
      <c r="G28" s="268">
        <v>261198634</v>
      </c>
      <c r="H28" s="261"/>
      <c r="I28" s="268">
        <v>305747539</v>
      </c>
      <c r="J28" s="261"/>
      <c r="K28" s="262"/>
    </row>
    <row r="29" spans="1:11" ht="24">
      <c r="A29" s="269" t="s">
        <v>220</v>
      </c>
      <c r="C29" s="261">
        <v>46356711</v>
      </c>
      <c r="D29" s="270"/>
      <c r="E29" s="261">
        <v>-54167821</v>
      </c>
      <c r="F29" s="261"/>
      <c r="G29" s="261">
        <v>1408838710</v>
      </c>
      <c r="H29" s="261"/>
      <c r="I29" s="268">
        <v>-1690994795</v>
      </c>
      <c r="J29" s="261"/>
      <c r="K29" s="262"/>
    </row>
    <row r="30" spans="1:11" ht="24">
      <c r="A30" s="260" t="s">
        <v>248</v>
      </c>
      <c r="C30" s="261">
        <v>-87883313</v>
      </c>
      <c r="D30" s="270"/>
      <c r="E30" s="261">
        <v>-52222886</v>
      </c>
      <c r="F30" s="261"/>
      <c r="G30" s="261">
        <v>-2665061490</v>
      </c>
      <c r="H30" s="261"/>
      <c r="I30" s="261">
        <v>-1631188724</v>
      </c>
      <c r="J30" s="261"/>
      <c r="K30" s="262"/>
    </row>
    <row r="31" spans="3:11" ht="24">
      <c r="C31" s="271">
        <f>SUM(C16:C30)</f>
        <v>2225513751</v>
      </c>
      <c r="D31" s="272"/>
      <c r="E31" s="271">
        <f>SUM(E16:E30)</f>
        <v>1905266103</v>
      </c>
      <c r="F31" s="272"/>
      <c r="G31" s="271">
        <f>SUM(G16:G30)</f>
        <v>67496313858</v>
      </c>
      <c r="H31" s="272"/>
      <c r="I31" s="271">
        <f>SUM(I16:I30)</f>
        <v>59490540689</v>
      </c>
      <c r="J31" s="272"/>
      <c r="K31" s="262"/>
    </row>
    <row r="32" spans="1:11" ht="24">
      <c r="A32" s="260" t="s">
        <v>185</v>
      </c>
      <c r="C32" s="263"/>
      <c r="D32" s="263"/>
      <c r="E32" s="263"/>
      <c r="F32" s="264"/>
      <c r="G32" s="263"/>
      <c r="H32" s="264"/>
      <c r="I32" s="263"/>
      <c r="J32" s="264"/>
      <c r="K32" s="262"/>
    </row>
    <row r="33" spans="1:11" ht="24">
      <c r="A33" s="260" t="s">
        <v>186</v>
      </c>
      <c r="C33" s="270">
        <v>212451583</v>
      </c>
      <c r="D33" s="268"/>
      <c r="E33" s="263">
        <v>-187565796</v>
      </c>
      <c r="F33" s="264"/>
      <c r="G33" s="261">
        <v>6456670658</v>
      </c>
      <c r="H33" s="264"/>
      <c r="I33" s="263">
        <v>-5855372762</v>
      </c>
      <c r="J33" s="264"/>
      <c r="K33" s="262"/>
    </row>
    <row r="34" spans="1:11" ht="24">
      <c r="A34" s="260" t="s">
        <v>187</v>
      </c>
      <c r="C34" s="270">
        <f>-554347+1</f>
        <v>-554346</v>
      </c>
      <c r="D34" s="268"/>
      <c r="E34" s="263">
        <v>-485928</v>
      </c>
      <c r="F34" s="264"/>
      <c r="G34" s="261">
        <v>-16847299</v>
      </c>
      <c r="H34" s="264"/>
      <c r="I34" s="263">
        <v>-15169562</v>
      </c>
      <c r="J34" s="264"/>
      <c r="K34" s="262"/>
    </row>
    <row r="35" spans="1:11" ht="27.75" customHeight="1">
      <c r="A35" s="260" t="s">
        <v>188</v>
      </c>
      <c r="C35" s="270">
        <v>-2746599</v>
      </c>
      <c r="D35" s="268"/>
      <c r="E35" s="263">
        <v>-13462613</v>
      </c>
      <c r="F35" s="264"/>
      <c r="G35" s="261">
        <v>-83472591</v>
      </c>
      <c r="H35" s="264"/>
      <c r="I35" s="263">
        <v>-420271802</v>
      </c>
      <c r="J35" s="264"/>
      <c r="K35" s="262"/>
    </row>
    <row r="36" spans="1:11" ht="27.75" customHeight="1">
      <c r="A36" s="260" t="s">
        <v>189</v>
      </c>
      <c r="C36" s="270">
        <f>-384912+1</f>
        <v>-384911</v>
      </c>
      <c r="D36" s="268"/>
      <c r="E36" s="263">
        <v>126347</v>
      </c>
      <c r="F36" s="264"/>
      <c r="G36" s="261">
        <v>-11697952</v>
      </c>
      <c r="H36" s="264"/>
      <c r="I36" s="263">
        <v>3944264</v>
      </c>
      <c r="J36" s="264"/>
      <c r="K36" s="262"/>
    </row>
    <row r="37" spans="1:11" ht="27.75" customHeight="1">
      <c r="A37" s="260" t="s">
        <v>190</v>
      </c>
      <c r="C37" s="270">
        <v>-3264785</v>
      </c>
      <c r="D37" s="268"/>
      <c r="E37" s="263">
        <v>-1642335</v>
      </c>
      <c r="F37" s="264"/>
      <c r="G37" s="261">
        <v>-99220910</v>
      </c>
      <c r="H37" s="264"/>
      <c r="I37" s="263">
        <v>-51269937</v>
      </c>
      <c r="J37" s="264"/>
      <c r="K37" s="262"/>
    </row>
    <row r="38" spans="1:11" ht="27.75" customHeight="1">
      <c r="A38" s="260" t="s">
        <v>11</v>
      </c>
      <c r="C38" s="270">
        <v>515008</v>
      </c>
      <c r="D38" s="268"/>
      <c r="E38" s="263">
        <v>-213763</v>
      </c>
      <c r="F38" s="264"/>
      <c r="G38" s="261">
        <v>15651741</v>
      </c>
      <c r="H38" s="264"/>
      <c r="I38" s="263">
        <v>-6673195</v>
      </c>
      <c r="J38" s="264"/>
      <c r="K38" s="262"/>
    </row>
    <row r="39" spans="1:11" ht="24">
      <c r="A39" s="260" t="s">
        <v>212</v>
      </c>
      <c r="C39" s="270">
        <v>6401573</v>
      </c>
      <c r="D39" s="268"/>
      <c r="E39" s="263">
        <v>-4677746</v>
      </c>
      <c r="F39" s="273"/>
      <c r="G39" s="261">
        <v>194551862</v>
      </c>
      <c r="H39" s="264"/>
      <c r="I39" s="263">
        <v>-146028483</v>
      </c>
      <c r="J39" s="273"/>
      <c r="K39" s="262"/>
    </row>
    <row r="40" spans="1:11" ht="24" hidden="1">
      <c r="A40" s="260" t="s">
        <v>191</v>
      </c>
      <c r="C40" s="270"/>
      <c r="D40" s="268"/>
      <c r="E40" s="263">
        <v>0</v>
      </c>
      <c r="F40" s="264"/>
      <c r="G40" s="261"/>
      <c r="H40" s="263"/>
      <c r="I40" s="263">
        <v>0</v>
      </c>
      <c r="J40" s="264"/>
      <c r="K40" s="262"/>
    </row>
    <row r="41" spans="1:11" ht="24">
      <c r="A41" s="260" t="s">
        <v>213</v>
      </c>
      <c r="C41" s="270">
        <v>-648368</v>
      </c>
      <c r="D41" s="268"/>
      <c r="E41" s="263">
        <v>-547837</v>
      </c>
      <c r="F41" s="264"/>
      <c r="G41" s="261">
        <v>-19704730</v>
      </c>
      <c r="H41" s="264"/>
      <c r="I41" s="263">
        <v>-17102210</v>
      </c>
      <c r="J41" s="264"/>
      <c r="K41" s="262"/>
    </row>
    <row r="42" spans="1:11" ht="24">
      <c r="A42" s="274" t="s">
        <v>192</v>
      </c>
      <c r="C42" s="261"/>
      <c r="D42" s="263"/>
      <c r="E42" s="261"/>
      <c r="F42" s="261"/>
      <c r="G42" s="263"/>
      <c r="H42" s="264"/>
      <c r="I42" s="263"/>
      <c r="J42" s="261"/>
      <c r="K42" s="262"/>
    </row>
    <row r="43" spans="1:11" ht="27.75" customHeight="1">
      <c r="A43" s="260" t="s">
        <v>193</v>
      </c>
      <c r="C43" s="270">
        <f>-10211470+1</f>
        <v>-10211469</v>
      </c>
      <c r="D43" s="268"/>
      <c r="E43" s="263">
        <v>-8982379</v>
      </c>
      <c r="F43" s="264"/>
      <c r="G43" s="261">
        <v>-310339404</v>
      </c>
      <c r="H43" s="264"/>
      <c r="I43" s="263">
        <v>-280409217</v>
      </c>
      <c r="J43" s="264"/>
      <c r="K43" s="262"/>
    </row>
    <row r="44" spans="1:11" ht="27" customHeight="1">
      <c r="A44" s="260" t="s">
        <v>194</v>
      </c>
      <c r="C44" s="270">
        <v>2007216</v>
      </c>
      <c r="D44" s="263"/>
      <c r="E44" s="263">
        <v>3154758</v>
      </c>
      <c r="F44" s="270"/>
      <c r="G44" s="261">
        <v>61001818</v>
      </c>
      <c r="H44" s="270"/>
      <c r="I44" s="263">
        <v>98484273</v>
      </c>
      <c r="J44" s="270"/>
      <c r="K44" s="262"/>
    </row>
    <row r="45" spans="4:11" ht="24.75" customHeight="1">
      <c r="D45" s="276"/>
      <c r="E45" s="263"/>
      <c r="F45" s="276"/>
      <c r="H45" s="276"/>
      <c r="I45" s="263"/>
      <c r="J45" s="276"/>
      <c r="K45" s="262"/>
    </row>
    <row r="46" spans="1:11" ht="30.75" customHeight="1">
      <c r="A46" s="260" t="str">
        <f>'[3]FS-Conso'!A44</f>
        <v>หมายเหตุประกอบข้อมูลทางการเงินระหว่างกาลเป็นส่วนหนึ่งของข้อมูลทางการเงินนี้       </v>
      </c>
      <c r="K46" s="262"/>
    </row>
    <row r="47" spans="1:12" s="250" customFormat="1" ht="25.5" customHeight="1">
      <c r="A47" s="358">
        <v>22</v>
      </c>
      <c r="B47" s="358"/>
      <c r="C47" s="358"/>
      <c r="D47" s="358"/>
      <c r="E47" s="358"/>
      <c r="F47" s="358"/>
      <c r="G47" s="358"/>
      <c r="H47" s="358"/>
      <c r="I47" s="358"/>
      <c r="J47" s="249"/>
      <c r="K47" s="262"/>
      <c r="L47" s="260"/>
    </row>
    <row r="48" spans="1:12" s="250" customFormat="1" ht="25.5" customHeight="1">
      <c r="A48" s="324"/>
      <c r="B48" s="324"/>
      <c r="C48" s="324"/>
      <c r="D48" s="324"/>
      <c r="E48" s="324"/>
      <c r="F48" s="324"/>
      <c r="G48" s="324"/>
      <c r="H48" s="324"/>
      <c r="I48" s="251" t="s">
        <v>113</v>
      </c>
      <c r="J48" s="249"/>
      <c r="K48" s="262"/>
      <c r="L48" s="260"/>
    </row>
    <row r="49" spans="1:12" s="250" customFormat="1" ht="25.5" customHeight="1">
      <c r="A49" s="324"/>
      <c r="B49" s="324"/>
      <c r="C49" s="324"/>
      <c r="D49" s="324"/>
      <c r="E49" s="324"/>
      <c r="F49" s="324"/>
      <c r="G49" s="324"/>
      <c r="H49" s="324"/>
      <c r="I49" s="251" t="s">
        <v>114</v>
      </c>
      <c r="J49" s="249"/>
      <c r="K49" s="262"/>
      <c r="L49" s="260"/>
    </row>
    <row r="50" spans="1:12" s="250" customFormat="1" ht="25.5" customHeight="1">
      <c r="A50" s="356" t="s">
        <v>4</v>
      </c>
      <c r="B50" s="356"/>
      <c r="C50" s="356"/>
      <c r="D50" s="356"/>
      <c r="E50" s="356"/>
      <c r="F50" s="356"/>
      <c r="G50" s="356"/>
      <c r="H50" s="356"/>
      <c r="I50" s="356"/>
      <c r="J50" s="252"/>
      <c r="K50" s="262"/>
      <c r="L50" s="260"/>
    </row>
    <row r="51" spans="1:12" s="250" customFormat="1" ht="25.5" customHeight="1">
      <c r="A51" s="356" t="s">
        <v>38</v>
      </c>
      <c r="B51" s="356"/>
      <c r="C51" s="356"/>
      <c r="D51" s="356"/>
      <c r="E51" s="356"/>
      <c r="F51" s="356"/>
      <c r="G51" s="356"/>
      <c r="H51" s="356"/>
      <c r="I51" s="356"/>
      <c r="J51" s="252"/>
      <c r="K51" s="262"/>
      <c r="L51" s="260"/>
    </row>
    <row r="52" spans="1:12" s="250" customFormat="1" ht="25.5" customHeight="1">
      <c r="A52" s="356" t="str">
        <f>A6</f>
        <v>สำหรับงวดเก้าเดือนสิ้นสุดวันที่ 30 กันยายน 2556</v>
      </c>
      <c r="B52" s="356"/>
      <c r="C52" s="356"/>
      <c r="D52" s="356"/>
      <c r="E52" s="356"/>
      <c r="F52" s="356"/>
      <c r="G52" s="356"/>
      <c r="H52" s="356"/>
      <c r="I52" s="356"/>
      <c r="J52" s="252"/>
      <c r="K52" s="262"/>
      <c r="L52" s="260"/>
    </row>
    <row r="53" spans="1:12" s="250" customFormat="1" ht="25.5" customHeight="1">
      <c r="A53" s="356" t="s">
        <v>238</v>
      </c>
      <c r="B53" s="356"/>
      <c r="C53" s="356"/>
      <c r="D53" s="356"/>
      <c r="E53" s="356"/>
      <c r="F53" s="356"/>
      <c r="G53" s="356"/>
      <c r="H53" s="356"/>
      <c r="I53" s="356"/>
      <c r="J53" s="252"/>
      <c r="K53" s="262"/>
      <c r="L53" s="260"/>
    </row>
    <row r="54" spans="11:12" s="250" customFormat="1" ht="19.5" customHeight="1">
      <c r="K54" s="262"/>
      <c r="L54" s="260"/>
    </row>
    <row r="55" spans="1:11" ht="24">
      <c r="A55" s="255"/>
      <c r="B55" s="255"/>
      <c r="C55" s="357" t="s">
        <v>128</v>
      </c>
      <c r="D55" s="357"/>
      <c r="E55" s="357"/>
      <c r="F55" s="256"/>
      <c r="G55" s="357" t="s">
        <v>67</v>
      </c>
      <c r="H55" s="357"/>
      <c r="I55" s="357"/>
      <c r="J55" s="255"/>
      <c r="K55" s="262"/>
    </row>
    <row r="56" spans="1:11" ht="10.5" customHeight="1">
      <c r="A56" s="255"/>
      <c r="B56" s="255"/>
      <c r="C56" s="323"/>
      <c r="D56" s="323"/>
      <c r="E56" s="323"/>
      <c r="F56" s="256"/>
      <c r="G56" s="323"/>
      <c r="H56" s="323"/>
      <c r="I56" s="323"/>
      <c r="J56" s="255"/>
      <c r="K56" s="262"/>
    </row>
    <row r="57" spans="1:11" ht="24">
      <c r="A57" s="255"/>
      <c r="B57" s="255"/>
      <c r="C57" s="257">
        <f>+C12</f>
        <v>2556</v>
      </c>
      <c r="D57" s="255"/>
      <c r="E57" s="257">
        <f>+E12</f>
        <v>2555</v>
      </c>
      <c r="F57" s="255"/>
      <c r="G57" s="257">
        <f>+G12</f>
        <v>2556</v>
      </c>
      <c r="H57" s="255"/>
      <c r="I57" s="257">
        <f>+I12</f>
        <v>2555</v>
      </c>
      <c r="J57" s="255"/>
      <c r="K57" s="262"/>
    </row>
    <row r="58" spans="3:12" s="255" customFormat="1" ht="21" customHeight="1">
      <c r="C58" s="322"/>
      <c r="D58" s="322"/>
      <c r="E58" s="322"/>
      <c r="F58" s="322"/>
      <c r="G58" s="322"/>
      <c r="H58" s="322"/>
      <c r="I58" s="322"/>
      <c r="K58" s="262"/>
      <c r="L58" s="260"/>
    </row>
    <row r="59" spans="3:12" s="255" customFormat="1" ht="24">
      <c r="C59" s="257"/>
      <c r="E59" s="257"/>
      <c r="G59" s="257"/>
      <c r="I59" s="258"/>
      <c r="K59" s="262"/>
      <c r="L59" s="260"/>
    </row>
    <row r="60" spans="1:11" ht="25.5" customHeight="1">
      <c r="A60" s="274" t="s">
        <v>195</v>
      </c>
      <c r="F60" s="277"/>
      <c r="G60" s="257"/>
      <c r="H60" s="277"/>
      <c r="I60" s="278"/>
      <c r="J60" s="277"/>
      <c r="K60" s="262"/>
    </row>
    <row r="61" spans="1:11" ht="24">
      <c r="A61" s="260" t="s">
        <v>196</v>
      </c>
      <c r="C61" s="270">
        <v>-56722630</v>
      </c>
      <c r="D61" s="263"/>
      <c r="E61" s="263">
        <v>18530285</v>
      </c>
      <c r="F61" s="270"/>
      <c r="G61" s="270">
        <v>-1723872030</v>
      </c>
      <c r="H61" s="270"/>
      <c r="I61" s="263">
        <v>578472884</v>
      </c>
      <c r="J61" s="270"/>
      <c r="K61" s="262"/>
    </row>
    <row r="62" spans="1:11" ht="24">
      <c r="A62" s="260" t="s">
        <v>197</v>
      </c>
      <c r="C62" s="270">
        <v>-11335617</v>
      </c>
      <c r="D62" s="263"/>
      <c r="E62" s="263">
        <v>-35265295</v>
      </c>
      <c r="F62" s="270"/>
      <c r="G62" s="270">
        <v>-344503641</v>
      </c>
      <c r="H62" s="270"/>
      <c r="I62" s="263">
        <v>-1100901410</v>
      </c>
      <c r="J62" s="270"/>
      <c r="K62" s="262"/>
    </row>
    <row r="63" spans="1:11" ht="24" hidden="1">
      <c r="A63" s="260" t="s">
        <v>56</v>
      </c>
      <c r="C63" s="270"/>
      <c r="D63" s="263"/>
      <c r="E63" s="263"/>
      <c r="F63" s="270"/>
      <c r="G63" s="270"/>
      <c r="H63" s="263"/>
      <c r="I63" s="263"/>
      <c r="J63" s="270"/>
      <c r="K63" s="262"/>
    </row>
    <row r="64" spans="1:11" ht="24">
      <c r="A64" s="260" t="s">
        <v>57</v>
      </c>
      <c r="C64" s="270">
        <v>421442</v>
      </c>
      <c r="D64" s="279"/>
      <c r="E64" s="263">
        <v>-92697</v>
      </c>
      <c r="F64" s="270"/>
      <c r="G64" s="270">
        <v>12808156</v>
      </c>
      <c r="H64" s="263"/>
      <c r="I64" s="263">
        <v>-2893781</v>
      </c>
      <c r="J64" s="270"/>
      <c r="K64" s="262"/>
    </row>
    <row r="65" spans="1:11" ht="27.75" customHeight="1" hidden="1">
      <c r="A65" s="260" t="s">
        <v>249</v>
      </c>
      <c r="C65" s="270"/>
      <c r="D65" s="279"/>
      <c r="E65" s="263"/>
      <c r="F65" s="270"/>
      <c r="G65" s="270"/>
      <c r="H65" s="263"/>
      <c r="I65" s="270"/>
      <c r="J65" s="270"/>
      <c r="K65" s="262"/>
    </row>
    <row r="66" spans="1:11" ht="27.75" customHeight="1">
      <c r="A66" s="274" t="s">
        <v>102</v>
      </c>
      <c r="C66" s="270">
        <v>20953540</v>
      </c>
      <c r="D66" s="279"/>
      <c r="E66" s="263">
        <v>18420806</v>
      </c>
      <c r="F66" s="270"/>
      <c r="G66" s="270">
        <v>636804432</v>
      </c>
      <c r="H66" s="263"/>
      <c r="I66" s="270">
        <v>575055209</v>
      </c>
      <c r="J66" s="270"/>
      <c r="K66" s="262"/>
    </row>
    <row r="67" spans="1:11" ht="27.75" customHeight="1">
      <c r="A67" s="274" t="s">
        <v>103</v>
      </c>
      <c r="C67" s="270">
        <v>-709581410</v>
      </c>
      <c r="D67" s="279"/>
      <c r="E67" s="263">
        <v>-566995386</v>
      </c>
      <c r="F67" s="270"/>
      <c r="G67" s="270">
        <v>-21565071012</v>
      </c>
      <c r="H67" s="263"/>
      <c r="I67" s="270">
        <v>-17700291853</v>
      </c>
      <c r="J67" s="270"/>
      <c r="K67" s="262"/>
    </row>
    <row r="68" spans="3:11" ht="27" customHeight="1">
      <c r="C68" s="280">
        <f>SUM(C33:C44,C61:C67)</f>
        <v>-552699773</v>
      </c>
      <c r="D68" s="279"/>
      <c r="E68" s="280">
        <f>SUM(E33:E44,E61:E67)</f>
        <v>-779699579</v>
      </c>
      <c r="F68" s="270"/>
      <c r="G68" s="280">
        <f>SUM(G33:G44,G61:G67)</f>
        <v>-16797240902</v>
      </c>
      <c r="H68" s="263"/>
      <c r="I68" s="280">
        <f>SUM(I33:I44,I61:I67)</f>
        <v>-24340427582</v>
      </c>
      <c r="J68" s="270"/>
      <c r="K68" s="262"/>
    </row>
    <row r="69" spans="1:11" ht="27" customHeight="1">
      <c r="A69" s="250" t="s">
        <v>40</v>
      </c>
      <c r="C69" s="281">
        <f>C31+C68</f>
        <v>1672813978</v>
      </c>
      <c r="D69" s="279"/>
      <c r="E69" s="281">
        <f>E31+E68</f>
        <v>1125566524</v>
      </c>
      <c r="F69" s="270"/>
      <c r="G69" s="281">
        <f>G31+G68</f>
        <v>50699072956</v>
      </c>
      <c r="H69" s="263"/>
      <c r="I69" s="281">
        <f>I31+I68</f>
        <v>35150113107</v>
      </c>
      <c r="J69" s="270"/>
      <c r="K69" s="262"/>
    </row>
    <row r="70" spans="1:11" ht="24">
      <c r="A70" s="250" t="s">
        <v>41</v>
      </c>
      <c r="B70" s="250"/>
      <c r="C70" s="282"/>
      <c r="D70" s="283"/>
      <c r="E70" s="282"/>
      <c r="F70" s="283"/>
      <c r="G70" s="282"/>
      <c r="H70" s="263"/>
      <c r="I70" s="282"/>
      <c r="J70" s="283"/>
      <c r="K70" s="262"/>
    </row>
    <row r="71" spans="1:11" ht="24" hidden="1">
      <c r="A71" s="260" t="s">
        <v>250</v>
      </c>
      <c r="C71" s="263"/>
      <c r="D71" s="263"/>
      <c r="E71" s="263"/>
      <c r="F71" s="264"/>
      <c r="G71" s="263"/>
      <c r="H71" s="264"/>
      <c r="I71" s="263"/>
      <c r="J71" s="264"/>
      <c r="K71" s="262"/>
    </row>
    <row r="72" spans="1:20" ht="24">
      <c r="A72" s="274" t="s">
        <v>198</v>
      </c>
      <c r="C72" s="270">
        <v>955374333</v>
      </c>
      <c r="D72" s="270"/>
      <c r="E72" s="263">
        <v>2252370152</v>
      </c>
      <c r="F72" s="270"/>
      <c r="G72" s="263">
        <v>29035026928</v>
      </c>
      <c r="H72" s="270"/>
      <c r="I72" s="263">
        <v>70313815712</v>
      </c>
      <c r="J72" s="264"/>
      <c r="K72" s="262"/>
      <c r="L72" s="274"/>
      <c r="N72" s="263"/>
      <c r="O72" s="270"/>
      <c r="P72" s="263"/>
      <c r="Q72" s="270"/>
      <c r="R72" s="263"/>
      <c r="S72" s="270"/>
      <c r="T72" s="263"/>
    </row>
    <row r="73" spans="1:20" ht="24">
      <c r="A73" s="274" t="s">
        <v>251</v>
      </c>
      <c r="C73" s="270">
        <v>-1634074118</v>
      </c>
      <c r="D73" s="270"/>
      <c r="E73" s="263">
        <f>-2279034500+829971</f>
        <v>-2278204529</v>
      </c>
      <c r="F73" s="264"/>
      <c r="G73" s="263">
        <v>-49661566563</v>
      </c>
      <c r="H73" s="264"/>
      <c r="I73" s="263">
        <f>-71146215316+25909796</f>
        <v>-71120305520</v>
      </c>
      <c r="J73" s="264"/>
      <c r="K73" s="262"/>
      <c r="L73" s="274"/>
      <c r="N73" s="263"/>
      <c r="O73" s="270"/>
      <c r="P73" s="263"/>
      <c r="Q73" s="270"/>
      <c r="R73" s="263"/>
      <c r="S73" s="270"/>
      <c r="T73" s="263"/>
    </row>
    <row r="74" spans="1:11" ht="24" hidden="1">
      <c r="A74" s="274" t="s">
        <v>73</v>
      </c>
      <c r="C74" s="270"/>
      <c r="D74" s="263"/>
      <c r="E74" s="263">
        <v>0</v>
      </c>
      <c r="F74" s="264"/>
      <c r="G74" s="263"/>
      <c r="H74" s="264"/>
      <c r="I74" s="263">
        <v>0</v>
      </c>
      <c r="J74" s="270"/>
      <c r="K74" s="262"/>
    </row>
    <row r="75" spans="1:11" ht="24" hidden="1">
      <c r="A75" s="274" t="s">
        <v>251</v>
      </c>
      <c r="C75" s="270"/>
      <c r="D75" s="270"/>
      <c r="E75" s="263"/>
      <c r="F75" s="270"/>
      <c r="G75" s="263"/>
      <c r="H75" s="270"/>
      <c r="I75" s="263"/>
      <c r="J75" s="270"/>
      <c r="K75" s="262"/>
    </row>
    <row r="76" spans="1:11" ht="24" hidden="1">
      <c r="A76" s="260" t="s">
        <v>252</v>
      </c>
      <c r="C76" s="270"/>
      <c r="D76" s="270"/>
      <c r="E76" s="263">
        <v>0</v>
      </c>
      <c r="F76" s="270"/>
      <c r="G76" s="263"/>
      <c r="H76" s="270"/>
      <c r="I76" s="263">
        <v>0</v>
      </c>
      <c r="J76" s="270"/>
      <c r="K76" s="262"/>
    </row>
    <row r="77" spans="1:11" ht="24">
      <c r="A77" s="260" t="s">
        <v>84</v>
      </c>
      <c r="C77" s="270">
        <v>80944131</v>
      </c>
      <c r="D77" s="270"/>
      <c r="E77" s="263">
        <v>147188461</v>
      </c>
      <c r="F77" s="270"/>
      <c r="G77" s="263">
        <v>2565488577</v>
      </c>
      <c r="H77" s="270"/>
      <c r="I77" s="263">
        <v>4488026399.999998</v>
      </c>
      <c r="J77" s="270"/>
      <c r="K77" s="262"/>
    </row>
    <row r="78" spans="1:11" ht="24">
      <c r="A78" s="260" t="s">
        <v>104</v>
      </c>
      <c r="C78" s="270">
        <v>73026448</v>
      </c>
      <c r="D78" s="270"/>
      <c r="E78" s="263">
        <f>91055611-829971</f>
        <v>90225640</v>
      </c>
      <c r="F78" s="270"/>
      <c r="G78" s="263">
        <v>2219365543</v>
      </c>
      <c r="H78" s="270"/>
      <c r="I78" s="263">
        <f>2842546753-25909796</f>
        <v>2816636957</v>
      </c>
      <c r="J78" s="270"/>
      <c r="K78" s="262"/>
    </row>
    <row r="79" spans="1:11" ht="27.75" customHeight="1">
      <c r="A79" s="260" t="s">
        <v>105</v>
      </c>
      <c r="C79" s="270">
        <v>-658310522</v>
      </c>
      <c r="D79" s="270"/>
      <c r="E79" s="270">
        <v>-604936436</v>
      </c>
      <c r="F79" s="270"/>
      <c r="G79" s="263">
        <v>-20006884297</v>
      </c>
      <c r="H79" s="270"/>
      <c r="I79" s="263">
        <v>-18884724167</v>
      </c>
      <c r="J79" s="270"/>
      <c r="K79" s="262"/>
    </row>
    <row r="80" spans="1:11" ht="27.75" customHeight="1">
      <c r="A80" s="260" t="s">
        <v>106</v>
      </c>
      <c r="C80" s="284">
        <v>-43429814</v>
      </c>
      <c r="D80" s="263"/>
      <c r="E80" s="284">
        <v>-45181718</v>
      </c>
      <c r="F80" s="270"/>
      <c r="G80" s="284">
        <v>-1319886641</v>
      </c>
      <c r="H80" s="270"/>
      <c r="I80" s="284">
        <v>-1410469315</v>
      </c>
      <c r="J80" s="270"/>
      <c r="K80" s="262"/>
    </row>
    <row r="81" spans="1:11" ht="27" customHeight="1">
      <c r="A81" s="250" t="s">
        <v>83</v>
      </c>
      <c r="C81" s="281">
        <f>SUM(C72:C80)</f>
        <v>-1226469542</v>
      </c>
      <c r="D81" s="279"/>
      <c r="E81" s="281">
        <f>SUM(E72:E80)</f>
        <v>-438538430</v>
      </c>
      <c r="F81" s="279"/>
      <c r="G81" s="281">
        <f>SUM(G72:G80)</f>
        <v>-37168456453</v>
      </c>
      <c r="H81" s="279"/>
      <c r="I81" s="281">
        <f>SUM(I72:I80)</f>
        <v>-13797019933.000002</v>
      </c>
      <c r="J81" s="279"/>
      <c r="K81" s="262"/>
    </row>
    <row r="82" spans="1:11" ht="24">
      <c r="A82" s="250" t="s">
        <v>42</v>
      </c>
      <c r="B82" s="250"/>
      <c r="C82" s="285"/>
      <c r="D82" s="279"/>
      <c r="E82" s="285"/>
      <c r="F82" s="270"/>
      <c r="G82" s="270"/>
      <c r="H82" s="270"/>
      <c r="I82" s="270"/>
      <c r="J82" s="270"/>
      <c r="K82" s="262"/>
    </row>
    <row r="83" spans="1:11" ht="24">
      <c r="A83" s="260" t="s">
        <v>256</v>
      </c>
      <c r="B83" s="250"/>
      <c r="C83" s="270">
        <v>0</v>
      </c>
      <c r="D83" s="279"/>
      <c r="E83" s="263">
        <v>-28881374</v>
      </c>
      <c r="F83" s="270"/>
      <c r="G83" s="263">
        <v>0</v>
      </c>
      <c r="H83" s="270"/>
      <c r="I83" s="263">
        <v>-901610082</v>
      </c>
      <c r="J83" s="270"/>
      <c r="K83" s="262"/>
    </row>
    <row r="84" spans="1:11" ht="24" hidden="1">
      <c r="A84" s="260" t="s">
        <v>207</v>
      </c>
      <c r="B84" s="250"/>
      <c r="C84" s="270">
        <v>0</v>
      </c>
      <c r="D84" s="279"/>
      <c r="E84" s="263">
        <v>0</v>
      </c>
      <c r="F84" s="270"/>
      <c r="G84" s="263"/>
      <c r="H84" s="270"/>
      <c r="I84" s="263">
        <v>0</v>
      </c>
      <c r="J84" s="270"/>
      <c r="K84" s="262"/>
    </row>
    <row r="85" spans="1:11" ht="24">
      <c r="A85" s="260" t="s">
        <v>219</v>
      </c>
      <c r="B85" s="250"/>
      <c r="C85" s="270">
        <v>-165604589</v>
      </c>
      <c r="D85" s="279"/>
      <c r="E85" s="263">
        <v>-782551600</v>
      </c>
      <c r="F85" s="270"/>
      <c r="G85" s="263">
        <v>-5032931632</v>
      </c>
      <c r="H85" s="270"/>
      <c r="I85" s="263">
        <v>-24429461083</v>
      </c>
      <c r="J85" s="270"/>
      <c r="K85" s="262"/>
    </row>
    <row r="86" spans="1:11" ht="24" hidden="1">
      <c r="A86" s="260" t="s">
        <v>253</v>
      </c>
      <c r="B86" s="250"/>
      <c r="C86" s="270"/>
      <c r="D86" s="279"/>
      <c r="E86" s="263"/>
      <c r="F86" s="270"/>
      <c r="G86" s="263"/>
      <c r="H86" s="270"/>
      <c r="I86" s="263"/>
      <c r="J86" s="270"/>
      <c r="K86" s="262"/>
    </row>
    <row r="87" spans="1:11" ht="24" hidden="1">
      <c r="A87" s="260" t="s">
        <v>200</v>
      </c>
      <c r="B87" s="250"/>
      <c r="C87" s="270"/>
      <c r="D87" s="279"/>
      <c r="E87" s="263"/>
      <c r="F87" s="270"/>
      <c r="G87" s="263"/>
      <c r="H87" s="270"/>
      <c r="I87" s="263"/>
      <c r="J87" s="270"/>
      <c r="K87" s="262"/>
    </row>
    <row r="88" spans="1:11" ht="24">
      <c r="A88" s="260" t="s">
        <v>223</v>
      </c>
      <c r="B88" s="250"/>
      <c r="C88" s="270">
        <v>-23023790</v>
      </c>
      <c r="D88" s="279"/>
      <c r="E88" s="263">
        <v>-45307186</v>
      </c>
      <c r="F88" s="270"/>
      <c r="G88" s="263">
        <v>-699721924</v>
      </c>
      <c r="H88" s="270"/>
      <c r="I88" s="263">
        <v>-1414386128</v>
      </c>
      <c r="J88" s="270"/>
      <c r="K88" s="262"/>
    </row>
    <row r="89" spans="1:11" ht="24">
      <c r="A89" s="260" t="s">
        <v>202</v>
      </c>
      <c r="B89" s="250"/>
      <c r="C89" s="270">
        <v>-501425</v>
      </c>
      <c r="D89" s="279"/>
      <c r="E89" s="263">
        <v>0</v>
      </c>
      <c r="F89" s="270"/>
      <c r="G89" s="263">
        <v>-15238936</v>
      </c>
      <c r="H89" s="270"/>
      <c r="I89" s="263">
        <v>0</v>
      </c>
      <c r="J89" s="270"/>
      <c r="K89" s="262"/>
    </row>
    <row r="90" spans="1:11" ht="24">
      <c r="A90" s="260" t="s">
        <v>224</v>
      </c>
      <c r="B90" s="250"/>
      <c r="C90" s="270">
        <v>0</v>
      </c>
      <c r="D90" s="279"/>
      <c r="E90" s="263">
        <f>157137829-385458-1-E93</f>
        <v>157137828.33</v>
      </c>
      <c r="F90" s="270"/>
      <c r="G90" s="263">
        <v>0</v>
      </c>
      <c r="H90" s="270"/>
      <c r="I90" s="263">
        <f>4905481596-12033123-I93</f>
        <v>4905481596</v>
      </c>
      <c r="J90" s="270"/>
      <c r="K90" s="262"/>
    </row>
    <row r="91" spans="1:11" ht="24">
      <c r="A91" s="260" t="s">
        <v>226</v>
      </c>
      <c r="B91" s="250"/>
      <c r="C91" s="270">
        <v>500000000</v>
      </c>
      <c r="D91" s="279"/>
      <c r="E91" s="263">
        <v>0</v>
      </c>
      <c r="F91" s="270"/>
      <c r="G91" s="263">
        <v>15195628522</v>
      </c>
      <c r="H91" s="270"/>
      <c r="I91" s="263">
        <v>0</v>
      </c>
      <c r="J91" s="270"/>
      <c r="K91" s="262"/>
    </row>
    <row r="92" spans="1:11" ht="24">
      <c r="A92" s="260" t="s">
        <v>203</v>
      </c>
      <c r="C92" s="270">
        <v>-7120705</v>
      </c>
      <c r="D92" s="279"/>
      <c r="E92" s="263">
        <f>-2379188+1</f>
        <v>-2379187</v>
      </c>
      <c r="F92" s="270"/>
      <c r="G92" s="263">
        <v>-216407183</v>
      </c>
      <c r="H92" s="270"/>
      <c r="I92" s="263">
        <v>-74272764</v>
      </c>
      <c r="J92" s="270"/>
      <c r="K92" s="262"/>
    </row>
    <row r="93" spans="1:11" ht="24">
      <c r="A93" s="260" t="s">
        <v>225</v>
      </c>
      <c r="C93" s="270">
        <v>0</v>
      </c>
      <c r="D93" s="279"/>
      <c r="E93" s="263">
        <v>-385458.33</v>
      </c>
      <c r="F93" s="270"/>
      <c r="G93" s="263">
        <v>0</v>
      </c>
      <c r="H93" s="270"/>
      <c r="I93" s="263">
        <v>-12033123</v>
      </c>
      <c r="J93" s="270"/>
      <c r="K93" s="262"/>
    </row>
    <row r="94" spans="1:12" s="250" customFormat="1" ht="24" hidden="1">
      <c r="A94" s="260" t="s">
        <v>107</v>
      </c>
      <c r="C94" s="270"/>
      <c r="D94" s="263"/>
      <c r="E94" s="263"/>
      <c r="F94" s="270"/>
      <c r="G94" s="263"/>
      <c r="H94" s="263"/>
      <c r="I94" s="263"/>
      <c r="J94" s="286"/>
      <c r="K94" s="262"/>
      <c r="L94" s="260"/>
    </row>
    <row r="95" spans="1:11" ht="24">
      <c r="A95" s="260" t="s">
        <v>108</v>
      </c>
      <c r="C95" s="284">
        <v>-783293009</v>
      </c>
      <c r="D95" s="263"/>
      <c r="E95" s="284">
        <v>-587602453</v>
      </c>
      <c r="F95" s="270"/>
      <c r="G95" s="284">
        <v>-23805259175</v>
      </c>
      <c r="H95" s="270"/>
      <c r="I95" s="284">
        <v>-18343597099</v>
      </c>
      <c r="J95" s="270"/>
      <c r="K95" s="262"/>
    </row>
    <row r="96" spans="1:12" s="250" customFormat="1" ht="27.75" customHeight="1">
      <c r="A96" s="250" t="s">
        <v>254</v>
      </c>
      <c r="C96" s="281">
        <f>SUM(C83:C95)</f>
        <v>-479543518</v>
      </c>
      <c r="D96" s="286"/>
      <c r="E96" s="281">
        <f>SUM(E83:E95)</f>
        <v>-1289969430</v>
      </c>
      <c r="F96" s="286"/>
      <c r="G96" s="281">
        <f>SUM(G83:G95)</f>
        <v>-14573930328</v>
      </c>
      <c r="H96" s="286"/>
      <c r="I96" s="281">
        <f>SUM(I83:I95)</f>
        <v>-40269878683</v>
      </c>
      <c r="J96" s="279"/>
      <c r="K96" s="262"/>
      <c r="L96" s="260"/>
    </row>
    <row r="97" spans="1:11" ht="27.75" customHeight="1">
      <c r="A97" s="260" t="s">
        <v>227</v>
      </c>
      <c r="C97" s="263">
        <f>C69+C81+C96</f>
        <v>-33199082</v>
      </c>
      <c r="D97" s="263"/>
      <c r="E97" s="263">
        <f>E69+E81+E96</f>
        <v>-602941336</v>
      </c>
      <c r="F97" s="270"/>
      <c r="G97" s="263">
        <f>G69+G81+G96</f>
        <v>-1043313825</v>
      </c>
      <c r="H97" s="270"/>
      <c r="I97" s="263">
        <f>I69+I81+I96</f>
        <v>-18916785509</v>
      </c>
      <c r="J97" s="270"/>
      <c r="K97" s="262"/>
    </row>
    <row r="98" spans="1:11" ht="27.75" customHeight="1">
      <c r="A98" s="250" t="s">
        <v>70</v>
      </c>
      <c r="C98" s="281">
        <f>'[3]FS-The Company'!E15</f>
        <v>1732902915</v>
      </c>
      <c r="D98" s="285"/>
      <c r="E98" s="281">
        <v>744934786</v>
      </c>
      <c r="F98" s="279"/>
      <c r="G98" s="281">
        <f>'[3]FS-The Company'!I15</f>
        <v>53081588927</v>
      </c>
      <c r="H98" s="279"/>
      <c r="I98" s="281">
        <v>23607877304</v>
      </c>
      <c r="J98" s="270"/>
      <c r="K98" s="262"/>
    </row>
    <row r="99" spans="1:11" ht="27.75" customHeight="1">
      <c r="A99" s="250"/>
      <c r="C99" s="270">
        <f>C97+C98</f>
        <v>1699703833</v>
      </c>
      <c r="D99" s="263"/>
      <c r="E99" s="270">
        <v>141993450</v>
      </c>
      <c r="F99" s="270"/>
      <c r="G99" s="270">
        <f>G97+G98</f>
        <v>52038275102</v>
      </c>
      <c r="H99" s="270"/>
      <c r="I99" s="270">
        <f>I97+I98</f>
        <v>4691091795</v>
      </c>
      <c r="J99" s="279"/>
      <c r="K99" s="262"/>
    </row>
    <row r="100" spans="1:11" ht="24">
      <c r="A100" s="260" t="s">
        <v>43</v>
      </c>
      <c r="B100" s="287"/>
      <c r="C100" s="284">
        <v>-2835163</v>
      </c>
      <c r="D100" s="263"/>
      <c r="E100" s="284">
        <v>12550987</v>
      </c>
      <c r="F100" s="270"/>
      <c r="G100" s="284">
        <v>1227568384</v>
      </c>
      <c r="H100" s="270"/>
      <c r="I100" s="284">
        <v>73327752</v>
      </c>
      <c r="J100" s="288"/>
      <c r="K100" s="262"/>
    </row>
    <row r="101" spans="1:13" ht="24.75" thickBot="1">
      <c r="A101" s="250" t="s">
        <v>71</v>
      </c>
      <c r="B101" s="287"/>
      <c r="C101" s="289">
        <f>C99+C100</f>
        <v>1696868670</v>
      </c>
      <c r="D101" s="279"/>
      <c r="E101" s="289">
        <f>E99+E100</f>
        <v>154544437</v>
      </c>
      <c r="F101" s="279"/>
      <c r="G101" s="289">
        <f>G99+G100</f>
        <v>53265843486</v>
      </c>
      <c r="H101" s="270"/>
      <c r="I101" s="289">
        <f>I99+I100</f>
        <v>4764419547</v>
      </c>
      <c r="J101" s="288"/>
      <c r="K101" s="262"/>
      <c r="L101" s="263"/>
      <c r="M101" s="263"/>
    </row>
    <row r="102" spans="1:11" ht="24">
      <c r="A102" s="250"/>
      <c r="B102" s="287"/>
      <c r="C102" s="290">
        <f>+C101-'[3]FS-The Company'!C15</f>
        <v>0</v>
      </c>
      <c r="D102" s="291"/>
      <c r="E102" s="290">
        <f>E101-150307710</f>
        <v>4236727</v>
      </c>
      <c r="F102" s="290"/>
      <c r="G102" s="290">
        <f>+G101-'FS-The Company'!G15</f>
        <v>0</v>
      </c>
      <c r="H102" s="290"/>
      <c r="I102" s="290">
        <f>I101-4783708203</f>
        <v>-19288656</v>
      </c>
      <c r="J102" s="288"/>
      <c r="K102" s="262"/>
    </row>
    <row r="103" spans="1:11" ht="24">
      <c r="A103" s="276" t="s">
        <v>153</v>
      </c>
      <c r="B103" s="287"/>
      <c r="C103" s="288"/>
      <c r="D103" s="302"/>
      <c r="E103" s="288"/>
      <c r="F103" s="288"/>
      <c r="G103" s="288"/>
      <c r="H103" s="288"/>
      <c r="I103" s="288"/>
      <c r="J103" s="288"/>
      <c r="K103" s="262"/>
    </row>
    <row r="104" spans="1:12" ht="24">
      <c r="A104" s="276" t="s">
        <v>154</v>
      </c>
      <c r="B104" s="287"/>
      <c r="C104" s="292">
        <v>134715970.03</v>
      </c>
      <c r="D104" s="292"/>
      <c r="E104" s="263">
        <v>126911896</v>
      </c>
      <c r="F104" s="292"/>
      <c r="G104" s="292">
        <v>4094187673.0022306</v>
      </c>
      <c r="H104" s="292"/>
      <c r="I104" s="263">
        <v>3912541474</v>
      </c>
      <c r="J104" s="288"/>
      <c r="K104" s="262"/>
      <c r="L104" s="293"/>
    </row>
    <row r="105" spans="1:12" ht="24">
      <c r="A105" s="276" t="s">
        <v>255</v>
      </c>
      <c r="C105" s="292">
        <v>19250423</v>
      </c>
      <c r="D105" s="292"/>
      <c r="E105" s="263">
        <v>829971</v>
      </c>
      <c r="F105" s="292"/>
      <c r="G105" s="292">
        <v>585044574</v>
      </c>
      <c r="H105" s="292"/>
      <c r="I105" s="263">
        <v>25909796</v>
      </c>
      <c r="J105" s="261"/>
      <c r="K105" s="262"/>
      <c r="L105" s="293"/>
    </row>
    <row r="106" spans="1:11" ht="24">
      <c r="A106" s="276"/>
      <c r="C106" s="290"/>
      <c r="D106" s="291"/>
      <c r="E106" s="290"/>
      <c r="F106" s="290"/>
      <c r="G106" s="288"/>
      <c r="H106" s="290"/>
      <c r="I106" s="290"/>
      <c r="J106" s="261"/>
      <c r="K106" s="262"/>
    </row>
    <row r="107" spans="1:11" ht="24">
      <c r="A107" s="294" t="str">
        <f>A46</f>
        <v>หมายเหตุประกอบข้อมูลทางการเงินระหว่างกาลเป็นส่วนหนึ่งของข้อมูลทางการเงินนี้       </v>
      </c>
      <c r="C107" s="295"/>
      <c r="D107" s="296"/>
      <c r="E107" s="297"/>
      <c r="F107" s="297"/>
      <c r="G107" s="298"/>
      <c r="H107" s="297"/>
      <c r="I107" s="297"/>
      <c r="J107" s="263"/>
      <c r="K107" s="262"/>
    </row>
    <row r="108" spans="3:11" ht="21.75" customHeight="1">
      <c r="C108" s="268"/>
      <c r="D108" s="261"/>
      <c r="E108" s="263"/>
      <c r="F108" s="261"/>
      <c r="G108" s="263"/>
      <c r="H108" s="263"/>
      <c r="I108" s="263"/>
      <c r="J108" s="263"/>
      <c r="K108" s="262"/>
    </row>
    <row r="109" spans="3:11" ht="21.75" customHeight="1">
      <c r="C109" s="263"/>
      <c r="D109" s="263"/>
      <c r="E109" s="263"/>
      <c r="F109" s="263"/>
      <c r="G109" s="299"/>
      <c r="H109" s="263"/>
      <c r="I109" s="263"/>
      <c r="J109" s="263"/>
      <c r="K109" s="262"/>
    </row>
    <row r="110" spans="3:11" ht="21.75" customHeight="1">
      <c r="C110" s="263"/>
      <c r="D110" s="263"/>
      <c r="E110" s="263"/>
      <c r="F110" s="263"/>
      <c r="G110" s="299"/>
      <c r="H110" s="263"/>
      <c r="I110" s="263"/>
      <c r="J110" s="263"/>
      <c r="K110" s="262"/>
    </row>
    <row r="111" spans="3:11" ht="21.75" customHeight="1">
      <c r="C111" s="263"/>
      <c r="D111" s="263"/>
      <c r="E111" s="263"/>
      <c r="F111" s="263"/>
      <c r="G111" s="263"/>
      <c r="H111" s="263"/>
      <c r="I111" s="263"/>
      <c r="J111" s="263"/>
      <c r="K111" s="262"/>
    </row>
    <row r="112" spans="3:11" ht="21.75" customHeight="1">
      <c r="C112" s="263"/>
      <c r="D112" s="263"/>
      <c r="E112" s="263"/>
      <c r="F112" s="263"/>
      <c r="G112" s="263"/>
      <c r="H112" s="263"/>
      <c r="I112" s="263"/>
      <c r="K112" s="262"/>
    </row>
    <row r="113" spans="3:11" ht="21.75" customHeight="1">
      <c r="C113" s="263"/>
      <c r="D113" s="263"/>
      <c r="E113" s="263"/>
      <c r="F113" s="263"/>
      <c r="G113" s="263"/>
      <c r="H113" s="263"/>
      <c r="I113" s="263"/>
      <c r="K113" s="262"/>
    </row>
    <row r="114" ht="21.75" customHeight="1">
      <c r="K114" s="262"/>
    </row>
    <row r="115" ht="21.75" customHeight="1">
      <c r="K115" s="262"/>
    </row>
    <row r="116" ht="21.75" customHeight="1">
      <c r="K116" s="262"/>
    </row>
    <row r="117" ht="21.75" customHeight="1">
      <c r="K117" s="262"/>
    </row>
    <row r="118" ht="24">
      <c r="K118" s="262"/>
    </row>
    <row r="119" ht="24">
      <c r="K119" s="262"/>
    </row>
    <row r="120" ht="24">
      <c r="K120" s="262"/>
    </row>
    <row r="121" ht="24">
      <c r="K121" s="262"/>
    </row>
    <row r="122" ht="24">
      <c r="K122" s="262"/>
    </row>
    <row r="123" ht="24">
      <c r="K123" s="262"/>
    </row>
    <row r="124" ht="24">
      <c r="K124" s="262"/>
    </row>
    <row r="125" ht="24">
      <c r="K125" s="262"/>
    </row>
    <row r="126" ht="24">
      <c r="K126" s="262"/>
    </row>
    <row r="127" ht="24">
      <c r="K127" s="262"/>
    </row>
    <row r="128" ht="24">
      <c r="K128" s="262"/>
    </row>
    <row r="129" ht="24">
      <c r="K129" s="262"/>
    </row>
    <row r="130" ht="24">
      <c r="K130" s="262"/>
    </row>
    <row r="131" ht="24">
      <c r="K131" s="262"/>
    </row>
    <row r="132" ht="24">
      <c r="K132" s="262"/>
    </row>
    <row r="133" ht="24">
      <c r="K133" s="262"/>
    </row>
    <row r="134" ht="24">
      <c r="K134" s="262"/>
    </row>
    <row r="135" ht="24">
      <c r="K135" s="262"/>
    </row>
    <row r="136" ht="24">
      <c r="K136" s="262"/>
    </row>
    <row r="137" ht="24">
      <c r="K137" s="262"/>
    </row>
    <row r="138" ht="24">
      <c r="K138" s="262"/>
    </row>
    <row r="148" spans="1:10" s="275" customFormat="1" ht="24">
      <c r="A148" s="260"/>
      <c r="B148" s="260">
        <v>12.1</v>
      </c>
      <c r="D148" s="260"/>
      <c r="E148" s="260"/>
      <c r="F148" s="260"/>
      <c r="G148" s="260"/>
      <c r="H148" s="260"/>
      <c r="I148" s="260"/>
      <c r="J148" s="260"/>
    </row>
  </sheetData>
  <sheetProtection/>
  <mergeCells count="16">
    <mergeCell ref="C8:E8"/>
    <mergeCell ref="G8:I8"/>
    <mergeCell ref="A1:I1"/>
    <mergeCell ref="A4:I4"/>
    <mergeCell ref="A5:I5"/>
    <mergeCell ref="A6:I6"/>
    <mergeCell ref="A7:I7"/>
    <mergeCell ref="A53:I53"/>
    <mergeCell ref="C55:E55"/>
    <mergeCell ref="G55:I55"/>
    <mergeCell ref="C10:E10"/>
    <mergeCell ref="G10:I10"/>
    <mergeCell ref="A47:I47"/>
    <mergeCell ref="A50:I50"/>
    <mergeCell ref="A51:I51"/>
    <mergeCell ref="A52:I52"/>
  </mergeCells>
  <printOptions/>
  <pageMargins left="0.75" right="0.25" top="0.45" bottom="0.236220472440945" header="0.32" footer="0.42"/>
  <pageSetup fitToHeight="2" horizontalDpi="600" verticalDpi="600" orientation="portrait" paperSize="9" scale="62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PTT Exploration &amp; Production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Boonrueng Lerdwisesw</dc:creator>
  <cp:keywords/>
  <dc:description/>
  <cp:lastModifiedBy>Information Technology</cp:lastModifiedBy>
  <cp:lastPrinted>2013-11-05T03:54:16Z</cp:lastPrinted>
  <dcterms:created xsi:type="dcterms:W3CDTF">2002-01-29T03:22:51Z</dcterms:created>
  <dcterms:modified xsi:type="dcterms:W3CDTF">2013-11-06T01:23:00Z</dcterms:modified>
  <cp:category/>
  <cp:version/>
  <cp:contentType/>
  <cp:contentStatus/>
</cp:coreProperties>
</file>